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oceanvisions1-my.sharepoint.com/personal/jessica_oceanvisions_org/Documents/Web/Reduce pages_new work/"/>
    </mc:Choice>
  </mc:AlternateContent>
  <xr:revisionPtr revIDLastSave="1" documentId="8_{28E443DA-514D-4412-91D8-FAE6F83655C1}" xr6:coauthVersionLast="47" xr6:coauthVersionMax="47" xr10:uidLastSave="{E24BE3EA-9AE6-42A6-92D4-E9165AC11AD6}"/>
  <bookViews>
    <workbookView xWindow="-110" yWindow="-110" windowWidth="19420" windowHeight="10420" tabRatio="886" xr2:uid="{18EF815D-CD2E-42B2-9A4F-99A5E9D207E9}"/>
  </bookViews>
  <sheets>
    <sheet name="READ ME FIRST" sheetId="10" r:id="rId1"/>
    <sheet name="Overview" sheetId="1" r:id="rId2"/>
    <sheet name="Summary_Marine Renewable Energy" sheetId="2" r:id="rId3"/>
    <sheet name="Summary_Sustainable Food" sheetId="4" r:id="rId4"/>
    <sheet name="Summary_Maritime Transportation" sheetId="3" r:id="rId5"/>
    <sheet name="Summary_Ecosystem Protection" sheetId="5" r:id="rId6"/>
    <sheet name="Summary_Macroalgae Products" sheetId="6" r:id="rId7"/>
    <sheet name="Summary_Microalgae Products" sheetId="9" r:id="rId8"/>
    <sheet name="Market_Size_Calc" sheetId="42" r:id="rId9"/>
    <sheet name="CO2_Potential_MRE" sheetId="29" r:id="rId10"/>
    <sheet name="CO2_Potential_SF" sheetId="30" r:id="rId11"/>
    <sheet name="CO2_Potential_MT" sheetId="32" r:id="rId12"/>
    <sheet name="CO2_Potential_EP" sheetId="31" r:id="rId13"/>
    <sheet name="CO2_Potential_MA" sheetId="33" r:id="rId14"/>
    <sheet name="CO2_Potential_MI" sheetId="34" r:id="rId15"/>
    <sheet name="OTEC Potential _Secondary" sheetId="38" r:id="rId16"/>
    <sheet name="Grid Emissions Intensity" sheetId="35" r:id="rId17"/>
    <sheet name="Other Ocean Industry Growth" sheetId="36" r:id="rId18"/>
    <sheet name="Shipping CO2e IRENA Scenario" sheetId="37" r:id="rId1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29" l="1"/>
  <c r="D83" i="29"/>
  <c r="E83" i="29"/>
  <c r="F83" i="29"/>
  <c r="G83" i="29"/>
  <c r="H83" i="29"/>
  <c r="I83" i="29"/>
  <c r="J83" i="29"/>
  <c r="K83" i="29"/>
  <c r="L83" i="29"/>
  <c r="M83" i="29"/>
  <c r="N83" i="29"/>
  <c r="O83" i="29"/>
  <c r="P83" i="29"/>
  <c r="Q83" i="29"/>
  <c r="R83" i="29"/>
  <c r="S83" i="29"/>
  <c r="T83" i="29"/>
  <c r="U83" i="29"/>
  <c r="V83" i="29"/>
  <c r="W83" i="29"/>
  <c r="C83" i="29"/>
  <c r="D82" i="29"/>
  <c r="E82" i="29"/>
  <c r="F82" i="29"/>
  <c r="G82" i="29"/>
  <c r="H82" i="29"/>
  <c r="I82" i="29"/>
  <c r="J82" i="29"/>
  <c r="K82" i="29"/>
  <c r="L82" i="29"/>
  <c r="M82" i="29"/>
  <c r="N82" i="29"/>
  <c r="O82" i="29"/>
  <c r="P82" i="29"/>
  <c r="Q82" i="29"/>
  <c r="R82" i="29"/>
  <c r="S82" i="29"/>
  <c r="T82" i="29"/>
  <c r="U82" i="29"/>
  <c r="V82" i="29"/>
  <c r="W82" i="29"/>
  <c r="C82" i="29"/>
  <c r="E71" i="29"/>
  <c r="F71" i="29" s="1"/>
  <c r="G71" i="29" s="1"/>
  <c r="H71" i="29" s="1"/>
  <c r="I71" i="29" s="1"/>
  <c r="J71" i="29" s="1"/>
  <c r="K71" i="29" s="1"/>
  <c r="L71" i="29" s="1"/>
  <c r="M71" i="29" s="1"/>
  <c r="N71" i="29" s="1"/>
  <c r="O71" i="29" s="1"/>
  <c r="P71" i="29" s="1"/>
  <c r="Q71" i="29" s="1"/>
  <c r="R71" i="29" s="1"/>
  <c r="S71" i="29" s="1"/>
  <c r="T71" i="29" s="1"/>
  <c r="U71" i="29" s="1"/>
  <c r="V71" i="29" s="1"/>
  <c r="W71" i="29" s="1"/>
  <c r="D71" i="29"/>
  <c r="C71" i="29"/>
  <c r="D70" i="29"/>
  <c r="E70" i="29"/>
  <c r="F70" i="29"/>
  <c r="G70" i="29"/>
  <c r="H70" i="29"/>
  <c r="I70" i="29"/>
  <c r="J70" i="29"/>
  <c r="K70" i="29"/>
  <c r="L70" i="29"/>
  <c r="M70" i="29"/>
  <c r="N70" i="29"/>
  <c r="O70" i="29"/>
  <c r="P70" i="29"/>
  <c r="Q70" i="29"/>
  <c r="R70" i="29"/>
  <c r="S70" i="29"/>
  <c r="T70" i="29"/>
  <c r="U70" i="29"/>
  <c r="V70" i="29"/>
  <c r="W70" i="29"/>
  <c r="C70" i="29"/>
  <c r="E59" i="29"/>
  <c r="F59" i="29" s="1"/>
  <c r="G59" i="29" s="1"/>
  <c r="H59" i="29" s="1"/>
  <c r="I59" i="29" s="1"/>
  <c r="J59" i="29" s="1"/>
  <c r="K59" i="29" s="1"/>
  <c r="L59" i="29" s="1"/>
  <c r="M59" i="29" s="1"/>
  <c r="N59" i="29" s="1"/>
  <c r="O59" i="29" s="1"/>
  <c r="P59" i="29" s="1"/>
  <c r="Q59" i="29" s="1"/>
  <c r="R59" i="29" s="1"/>
  <c r="S59" i="29" s="1"/>
  <c r="T59" i="29" s="1"/>
  <c r="U59" i="29" s="1"/>
  <c r="V59" i="29" s="1"/>
  <c r="W59" i="29" s="1"/>
  <c r="D59" i="29"/>
  <c r="C59" i="29"/>
  <c r="D58" i="29"/>
  <c r="E58" i="29"/>
  <c r="F58" i="29"/>
  <c r="G58" i="29"/>
  <c r="H58" i="29"/>
  <c r="I58" i="29"/>
  <c r="J58" i="29"/>
  <c r="K58" i="29"/>
  <c r="L58" i="29"/>
  <c r="M58" i="29"/>
  <c r="N58" i="29"/>
  <c r="O58" i="29"/>
  <c r="P58" i="29"/>
  <c r="Q58" i="29"/>
  <c r="R58" i="29"/>
  <c r="S58" i="29"/>
  <c r="T58" i="29"/>
  <c r="U58" i="29"/>
  <c r="V58" i="29"/>
  <c r="W58" i="29"/>
  <c r="C58" i="29"/>
  <c r="E46" i="29"/>
  <c r="F46" i="29" s="1"/>
  <c r="G46" i="29" s="1"/>
  <c r="H46" i="29" s="1"/>
  <c r="I46" i="29" s="1"/>
  <c r="J46" i="29" s="1"/>
  <c r="K46" i="29" s="1"/>
  <c r="L46" i="29" s="1"/>
  <c r="M46" i="29" s="1"/>
  <c r="N46" i="29" s="1"/>
  <c r="O46" i="29" s="1"/>
  <c r="P46" i="29" s="1"/>
  <c r="Q46" i="29" s="1"/>
  <c r="R46" i="29" s="1"/>
  <c r="S46" i="29" s="1"/>
  <c r="T46" i="29" s="1"/>
  <c r="U46" i="29" s="1"/>
  <c r="V46" i="29" s="1"/>
  <c r="W46" i="29" s="1"/>
  <c r="D46" i="29"/>
  <c r="C46" i="29"/>
  <c r="W45" i="29"/>
  <c r="E45" i="29"/>
  <c r="F45" i="29"/>
  <c r="G45" i="29"/>
  <c r="H45" i="29"/>
  <c r="I45" i="29"/>
  <c r="J45" i="29"/>
  <c r="K45" i="29"/>
  <c r="L45" i="29"/>
  <c r="M45" i="29"/>
  <c r="N45" i="29"/>
  <c r="O45" i="29"/>
  <c r="P45" i="29"/>
  <c r="Q45" i="29"/>
  <c r="R45" i="29"/>
  <c r="S45" i="29"/>
  <c r="T45" i="29"/>
  <c r="U45" i="29"/>
  <c r="V45" i="29"/>
  <c r="D45" i="29"/>
  <c r="C45" i="29"/>
  <c r="E34" i="29"/>
  <c r="F34" i="29"/>
  <c r="G34" i="29" s="1"/>
  <c r="H34" i="29" s="1"/>
  <c r="I34" i="29" s="1"/>
  <c r="J34" i="29" s="1"/>
  <c r="K34" i="29" s="1"/>
  <c r="L34" i="29" s="1"/>
  <c r="M34" i="29" s="1"/>
  <c r="N34" i="29" s="1"/>
  <c r="O34" i="29" s="1"/>
  <c r="P34" i="29" s="1"/>
  <c r="Q34" i="29" s="1"/>
  <c r="R34" i="29" s="1"/>
  <c r="S34" i="29" s="1"/>
  <c r="T34" i="29" s="1"/>
  <c r="U34" i="29" s="1"/>
  <c r="V34" i="29" s="1"/>
  <c r="W34" i="29" s="1"/>
  <c r="D34" i="29"/>
  <c r="C34" i="29"/>
  <c r="D33" i="29"/>
  <c r="E33" i="29"/>
  <c r="F33" i="29"/>
  <c r="G33" i="29"/>
  <c r="H33" i="29"/>
  <c r="I33" i="29"/>
  <c r="J33" i="29"/>
  <c r="K33" i="29"/>
  <c r="L33" i="29"/>
  <c r="M33" i="29"/>
  <c r="N33" i="29"/>
  <c r="O33" i="29"/>
  <c r="P33" i="29"/>
  <c r="Q33" i="29"/>
  <c r="R33" i="29"/>
  <c r="S33" i="29"/>
  <c r="T33" i="29"/>
  <c r="U33" i="29"/>
  <c r="V33" i="29"/>
  <c r="W33" i="29"/>
  <c r="C33" i="29"/>
  <c r="E21" i="29"/>
  <c r="F21" i="29"/>
  <c r="G21" i="29"/>
  <c r="H21" i="29"/>
  <c r="I21" i="29"/>
  <c r="J21" i="29"/>
  <c r="K21" i="29"/>
  <c r="L21" i="29"/>
  <c r="M21" i="29"/>
  <c r="N21" i="29"/>
  <c r="O21" i="29"/>
  <c r="P21" i="29"/>
  <c r="Q21" i="29"/>
  <c r="R21" i="29"/>
  <c r="S21" i="29"/>
  <c r="T21" i="29"/>
  <c r="U21" i="29"/>
  <c r="V21" i="29"/>
  <c r="W21" i="29"/>
  <c r="E22" i="29"/>
  <c r="F22" i="29" s="1"/>
  <c r="G22" i="29" s="1"/>
  <c r="H22" i="29" s="1"/>
  <c r="I22" i="29" s="1"/>
  <c r="J22" i="29" s="1"/>
  <c r="K22" i="29" s="1"/>
  <c r="L22" i="29" s="1"/>
  <c r="M22" i="29" s="1"/>
  <c r="N22" i="29" s="1"/>
  <c r="O22" i="29" s="1"/>
  <c r="P22" i="29" s="1"/>
  <c r="Q22" i="29" s="1"/>
  <c r="R22" i="29" s="1"/>
  <c r="S22" i="29" s="1"/>
  <c r="T22" i="29" s="1"/>
  <c r="U22" i="29" s="1"/>
  <c r="V22" i="29" s="1"/>
  <c r="W22" i="29" s="1"/>
  <c r="D22" i="29"/>
  <c r="D21" i="29"/>
  <c r="C22" i="29"/>
  <c r="C21" i="29"/>
  <c r="E9" i="29"/>
  <c r="F9" i="29"/>
  <c r="G9" i="29"/>
  <c r="H9" i="29"/>
  <c r="I9" i="29"/>
  <c r="J9" i="29"/>
  <c r="K9" i="29"/>
  <c r="L9" i="29"/>
  <c r="M9" i="29"/>
  <c r="N9" i="29"/>
  <c r="O9" i="29"/>
  <c r="P9" i="29"/>
  <c r="Q9" i="29"/>
  <c r="R9" i="29"/>
  <c r="S9" i="29"/>
  <c r="T9" i="29"/>
  <c r="U9" i="29"/>
  <c r="V9" i="29"/>
  <c r="W9" i="29"/>
  <c r="E10" i="29"/>
  <c r="F10" i="29" s="1"/>
  <c r="G10" i="29" s="1"/>
  <c r="H10" i="29" s="1"/>
  <c r="I10" i="29" s="1"/>
  <c r="J10" i="29" s="1"/>
  <c r="K10" i="29" s="1"/>
  <c r="L10" i="29" s="1"/>
  <c r="M10" i="29" s="1"/>
  <c r="N10" i="29" s="1"/>
  <c r="O10" i="29" s="1"/>
  <c r="P10" i="29" s="1"/>
  <c r="Q10" i="29" s="1"/>
  <c r="R10" i="29" s="1"/>
  <c r="S10" i="29" s="1"/>
  <c r="T10" i="29" s="1"/>
  <c r="U10" i="29" s="1"/>
  <c r="V10" i="29" s="1"/>
  <c r="W10" i="29" s="1"/>
  <c r="D9" i="29"/>
  <c r="D10" i="29" s="1"/>
  <c r="C10" i="29"/>
  <c r="C9" i="29"/>
  <c r="G7" i="1"/>
  <c r="H7" i="1" s="1"/>
  <c r="B8" i="9"/>
  <c r="B60" i="42"/>
  <c r="B62" i="42" s="1"/>
  <c r="B63" i="42" s="1"/>
  <c r="B65" i="42" s="1"/>
  <c r="E7" i="1"/>
  <c r="F7" i="1" s="1"/>
  <c r="D8" i="1"/>
  <c r="G26" i="1"/>
  <c r="H26" i="1" s="1"/>
  <c r="G24" i="1"/>
  <c r="H24" i="1" s="1"/>
  <c r="G22" i="1"/>
  <c r="H22" i="1" s="1"/>
  <c r="G21" i="1"/>
  <c r="H21" i="1" s="1"/>
  <c r="G20" i="1"/>
  <c r="H20" i="1" s="1"/>
  <c r="G19" i="1"/>
  <c r="H19" i="1" s="1"/>
  <c r="G17" i="1"/>
  <c r="H17" i="1" s="1"/>
  <c r="G16" i="1"/>
  <c r="H16" i="1" s="1"/>
  <c r="G15" i="1"/>
  <c r="H15" i="1" s="1"/>
  <c r="G12" i="1"/>
  <c r="H12" i="1" s="1"/>
  <c r="G11" i="1"/>
  <c r="H11" i="1" s="1"/>
  <c r="G10" i="1"/>
  <c r="H10" i="1" s="1"/>
  <c r="G8" i="1"/>
  <c r="H8" i="1" s="1"/>
  <c r="G6" i="1"/>
  <c r="H6" i="1" s="1"/>
  <c r="G5" i="1"/>
  <c r="H5" i="1" s="1"/>
  <c r="G4" i="1"/>
  <c r="H4" i="1" s="1"/>
  <c r="H25" i="1"/>
  <c r="H18" i="1"/>
  <c r="H9" i="1"/>
  <c r="H13" i="1"/>
  <c r="H14" i="1"/>
  <c r="H23" i="1"/>
  <c r="B10" i="3"/>
  <c r="B9" i="3"/>
  <c r="G34" i="42"/>
  <c r="H34" i="42" s="1"/>
  <c r="C54" i="42"/>
  <c r="C52" i="42"/>
  <c r="D52" i="42" s="1"/>
  <c r="D53" i="42" s="1"/>
  <c r="C50" i="42"/>
  <c r="C53" i="42" s="1"/>
  <c r="C47" i="42"/>
  <c r="C42" i="42"/>
  <c r="C39" i="42"/>
  <c r="H31" i="42"/>
  <c r="G31" i="42"/>
  <c r="G30" i="42"/>
  <c r="F30" i="42"/>
  <c r="F29" i="42" s="1"/>
  <c r="H29" i="42" s="1"/>
  <c r="G29" i="42"/>
  <c r="G28" i="42"/>
  <c r="D22" i="42"/>
  <c r="F22" i="42" s="1"/>
  <c r="D21" i="42"/>
  <c r="F21" i="42" s="1"/>
  <c r="D20" i="42"/>
  <c r="F20" i="42" s="1"/>
  <c r="D19" i="42"/>
  <c r="F19" i="42" s="1"/>
  <c r="D9" i="42"/>
  <c r="F9" i="42" s="1"/>
  <c r="D13" i="42"/>
  <c r="F13" i="42" s="1"/>
  <c r="D12" i="42"/>
  <c r="F12" i="42" s="1"/>
  <c r="D11" i="42"/>
  <c r="F11" i="42" s="1"/>
  <c r="D10" i="42"/>
  <c r="F10" i="42" s="1"/>
  <c r="B53" i="42" l="1"/>
  <c r="G32" i="42"/>
  <c r="H30" i="42"/>
  <c r="F28" i="42"/>
  <c r="H28" i="42" s="1"/>
  <c r="F14" i="42"/>
  <c r="H32" i="42" l="1"/>
  <c r="G33" i="42" s="1"/>
  <c r="H35" i="42" s="1"/>
  <c r="D5" i="34"/>
  <c r="E26" i="1" l="1"/>
  <c r="F26" i="1" s="1"/>
  <c r="E24" i="1"/>
  <c r="F24" i="1" s="1"/>
  <c r="E15" i="1"/>
  <c r="F15" i="1" s="1"/>
  <c r="E19" i="1"/>
  <c r="F19" i="1" s="1"/>
  <c r="E16" i="1"/>
  <c r="F16" i="1" s="1"/>
  <c r="E12" i="1"/>
  <c r="F12" i="1" s="1"/>
  <c r="E9" i="1"/>
  <c r="F9" i="1" s="1"/>
  <c r="E8" i="1"/>
  <c r="F8" i="1" s="1"/>
  <c r="B22" i="6"/>
  <c r="E6" i="1"/>
  <c r="F6" i="1" s="1"/>
  <c r="E4" i="1"/>
  <c r="F4" i="1" s="1"/>
  <c r="B23" i="6"/>
  <c r="B13" i="6"/>
  <c r="B4" i="6"/>
  <c r="B45" i="5"/>
  <c r="E10" i="1" s="1"/>
  <c r="F10" i="1" s="1"/>
  <c r="B36" i="5"/>
  <c r="E14" i="1" s="1"/>
  <c r="F14" i="1" s="1"/>
  <c r="B24" i="5"/>
  <c r="E18" i="1" s="1"/>
  <c r="F18" i="1" s="1"/>
  <c r="B13" i="5"/>
  <c r="E25" i="1" s="1"/>
  <c r="F25" i="1" s="1"/>
  <c r="B4" i="5"/>
  <c r="E13" i="1" s="1"/>
  <c r="F13" i="1" s="1"/>
  <c r="B35" i="3"/>
  <c r="B25" i="3"/>
  <c r="B16" i="3"/>
  <c r="B4" i="3"/>
  <c r="B26" i="4"/>
  <c r="B15" i="4"/>
  <c r="B4" i="4"/>
  <c r="B3" i="4"/>
  <c r="D15" i="1" s="1"/>
  <c r="E6" i="30"/>
  <c r="Y6" i="30"/>
  <c r="B3" i="30"/>
  <c r="F3" i="30" s="1"/>
  <c r="B4" i="30"/>
  <c r="F4" i="30" s="1"/>
  <c r="G4" i="30" s="1"/>
  <c r="H4" i="30" s="1"/>
  <c r="I4" i="30" s="1"/>
  <c r="J4" i="30" s="1"/>
  <c r="K4" i="30" s="1"/>
  <c r="L4" i="30" s="1"/>
  <c r="M4" i="30" s="1"/>
  <c r="N4" i="30" s="1"/>
  <c r="O4" i="30" s="1"/>
  <c r="P4" i="30" s="1"/>
  <c r="Q4" i="30" s="1"/>
  <c r="R4" i="30" s="1"/>
  <c r="S4" i="30" s="1"/>
  <c r="T4" i="30" s="1"/>
  <c r="U4" i="30" s="1"/>
  <c r="V4" i="30" s="1"/>
  <c r="W4" i="30" s="1"/>
  <c r="X4" i="30" s="1"/>
  <c r="C10" i="33"/>
  <c r="C9" i="33"/>
  <c r="B4" i="33"/>
  <c r="B2" i="33"/>
  <c r="B27" i="6"/>
  <c r="B16" i="4"/>
  <c r="B20" i="4" s="1"/>
  <c r="B72" i="2"/>
  <c r="B2" i="31"/>
  <c r="F4" i="31"/>
  <c r="B9" i="31"/>
  <c r="C6" i="31" s="1"/>
  <c r="B12" i="6"/>
  <c r="D26" i="1" s="1"/>
  <c r="B12" i="5"/>
  <c r="D25" i="1" s="1"/>
  <c r="B23" i="5"/>
  <c r="D18" i="1" s="1"/>
  <c r="B35" i="5"/>
  <c r="D14" i="1" s="1"/>
  <c r="B24" i="3"/>
  <c r="D19" i="1" s="1"/>
  <c r="B34" i="3"/>
  <c r="D12" i="1" s="1"/>
  <c r="B15" i="3"/>
  <c r="B44" i="5"/>
  <c r="D10" i="1" s="1"/>
  <c r="D9" i="1"/>
  <c r="B3" i="9"/>
  <c r="D7" i="1" s="1"/>
  <c r="B3" i="3"/>
  <c r="D6" i="1" s="1"/>
  <c r="B17" i="6"/>
  <c r="B49" i="5"/>
  <c r="B39" i="3"/>
  <c r="B29" i="3"/>
  <c r="B31" i="4"/>
  <c r="B31" i="2"/>
  <c r="B9" i="2"/>
  <c r="B10" i="31"/>
  <c r="D6" i="31" s="1"/>
  <c r="E20" i="33"/>
  <c r="F20" i="33" s="1"/>
  <c r="G20" i="33" s="1"/>
  <c r="H20" i="33" s="1"/>
  <c r="I20" i="33" s="1"/>
  <c r="J20" i="33" s="1"/>
  <c r="K20" i="33" s="1"/>
  <c r="L20" i="33" s="1"/>
  <c r="M20" i="33" s="1"/>
  <c r="N20" i="33" s="1"/>
  <c r="O20" i="33" s="1"/>
  <c r="P20" i="33" s="1"/>
  <c r="Q20" i="33" s="1"/>
  <c r="R20" i="33" s="1"/>
  <c r="S20" i="33" s="1"/>
  <c r="T20" i="33" s="1"/>
  <c r="U20" i="33" s="1"/>
  <c r="V20" i="33" s="1"/>
  <c r="W20" i="33" s="1"/>
  <c r="D20" i="33"/>
  <c r="B9" i="4"/>
  <c r="X5" i="34"/>
  <c r="C21" i="33"/>
  <c r="C29" i="33"/>
  <c r="C30" i="33" s="1"/>
  <c r="C20" i="33"/>
  <c r="B3" i="37"/>
  <c r="B2" i="37"/>
  <c r="W81" i="29"/>
  <c r="C81" i="29"/>
  <c r="B77" i="29"/>
  <c r="D81" i="29" s="1"/>
  <c r="W69" i="29"/>
  <c r="C69" i="29"/>
  <c r="B65" i="29"/>
  <c r="B52" i="29"/>
  <c r="B53" i="29"/>
  <c r="B54" i="29" s="1"/>
  <c r="W44" i="29"/>
  <c r="C44" i="29"/>
  <c r="B40" i="29"/>
  <c r="B16" i="29"/>
  <c r="B4" i="29"/>
  <c r="C32" i="29"/>
  <c r="B28" i="29"/>
  <c r="B52" i="2"/>
  <c r="B42" i="2"/>
  <c r="B16" i="2"/>
  <c r="B20" i="2" s="1"/>
  <c r="C8" i="29"/>
  <c r="B11" i="34"/>
  <c r="E2" i="32"/>
  <c r="B4" i="34"/>
  <c r="W4" i="37"/>
  <c r="H42" i="35"/>
  <c r="H36" i="35"/>
  <c r="H11" i="35"/>
  <c r="F7" i="36"/>
  <c r="F3" i="36"/>
  <c r="F2" i="36"/>
  <c r="F6" i="30" l="1"/>
  <c r="B6" i="30"/>
  <c r="G3" i="30"/>
  <c r="G6" i="30" s="1"/>
  <c r="D4" i="30"/>
  <c r="C4" i="30"/>
  <c r="C8" i="33"/>
  <c r="X6" i="34"/>
  <c r="D69" i="29"/>
  <c r="E81" i="29"/>
  <c r="B55" i="29"/>
  <c r="C57" i="29"/>
  <c r="W8" i="29"/>
  <c r="D8" i="29"/>
  <c r="W32" i="29"/>
  <c r="E32" i="29"/>
  <c r="F32" i="29"/>
  <c r="G32" i="29"/>
  <c r="H32" i="29"/>
  <c r="I32" i="29"/>
  <c r="J32" i="29"/>
  <c r="K32" i="29"/>
  <c r="L32" i="29"/>
  <c r="M32" i="29"/>
  <c r="N32" i="29"/>
  <c r="O32" i="29"/>
  <c r="P32" i="29"/>
  <c r="Q32" i="29"/>
  <c r="R32" i="29"/>
  <c r="S32" i="29"/>
  <c r="T32" i="29"/>
  <c r="U32" i="29"/>
  <c r="V32" i="29"/>
  <c r="D32" i="29"/>
  <c r="D44" i="29"/>
  <c r="E8" i="29"/>
  <c r="D29" i="33"/>
  <c r="E29" i="33" s="1"/>
  <c r="F29" i="33" s="1"/>
  <c r="H3" i="30" l="1"/>
  <c r="H6" i="30" s="1"/>
  <c r="E69" i="29"/>
  <c r="F81" i="29"/>
  <c r="D57" i="29"/>
  <c r="E44" i="29"/>
  <c r="F8" i="29"/>
  <c r="E30" i="33"/>
  <c r="D30" i="33"/>
  <c r="G29" i="33"/>
  <c r="F30" i="33"/>
  <c r="M33" i="35"/>
  <c r="R33" i="35"/>
  <c r="W33" i="35"/>
  <c r="AB33" i="35"/>
  <c r="H33" i="35"/>
  <c r="B4" i="38"/>
  <c r="B5" i="38" s="1"/>
  <c r="B7" i="38" s="1"/>
  <c r="B8" i="38" s="1"/>
  <c r="W20" i="29" s="1"/>
  <c r="I3" i="30" l="1"/>
  <c r="I6" i="30" s="1"/>
  <c r="F69" i="29"/>
  <c r="G81" i="29"/>
  <c r="E57" i="29"/>
  <c r="V20" i="29"/>
  <c r="F44" i="29"/>
  <c r="G8" i="29"/>
  <c r="G30" i="33"/>
  <c r="H29" i="33"/>
  <c r="D2" i="37"/>
  <c r="D3" i="37"/>
  <c r="E3" i="37" s="1"/>
  <c r="F3" i="37" s="1"/>
  <c r="G3" i="37" s="1"/>
  <c r="H3" i="37" s="1"/>
  <c r="I3" i="37" s="1"/>
  <c r="J3" i="37" s="1"/>
  <c r="K3" i="37" s="1"/>
  <c r="L3" i="37" s="1"/>
  <c r="M3" i="37" s="1"/>
  <c r="N3" i="37" s="1"/>
  <c r="O3" i="37" s="1"/>
  <c r="P3" i="37" s="1"/>
  <c r="Q3" i="37" s="1"/>
  <c r="R3" i="37" s="1"/>
  <c r="S3" i="37" s="1"/>
  <c r="T3" i="37" s="1"/>
  <c r="U3" i="37" s="1"/>
  <c r="V3" i="37" s="1"/>
  <c r="C4" i="37"/>
  <c r="E4" i="32" s="1"/>
  <c r="F4" i="36"/>
  <c r="F5" i="36"/>
  <c r="F6" i="36"/>
  <c r="D4" i="35"/>
  <c r="E4" i="35" s="1"/>
  <c r="F4" i="35" s="1"/>
  <c r="G4" i="35" s="1"/>
  <c r="I4" i="35"/>
  <c r="J4" i="35" s="1"/>
  <c r="K4" i="35" s="1"/>
  <c r="L4" i="35" s="1"/>
  <c r="N4" i="35"/>
  <c r="O4" i="35" s="1"/>
  <c r="P4" i="35" s="1"/>
  <c r="Q4" i="35" s="1"/>
  <c r="S4" i="35"/>
  <c r="T4" i="35" s="1"/>
  <c r="U4" i="35" s="1"/>
  <c r="V4" i="35" s="1"/>
  <c r="X4" i="35"/>
  <c r="Y4" i="35" s="1"/>
  <c r="Z4" i="35" s="1"/>
  <c r="AA4" i="35" s="1"/>
  <c r="D5" i="35"/>
  <c r="E5" i="35" s="1"/>
  <c r="F5" i="35" s="1"/>
  <c r="G5" i="35" s="1"/>
  <c r="I5" i="35"/>
  <c r="N5" i="35"/>
  <c r="S5" i="35"/>
  <c r="X5" i="35"/>
  <c r="D6" i="35"/>
  <c r="E6" i="35" s="1"/>
  <c r="F6" i="35" s="1"/>
  <c r="G6" i="35" s="1"/>
  <c r="I6" i="35"/>
  <c r="J6" i="35" s="1"/>
  <c r="K6" i="35" s="1"/>
  <c r="L6" i="35" s="1"/>
  <c r="N6" i="35"/>
  <c r="O6" i="35" s="1"/>
  <c r="P6" i="35" s="1"/>
  <c r="Q6" i="35" s="1"/>
  <c r="S6" i="35"/>
  <c r="X6" i="35"/>
  <c r="Y6" i="35" s="1"/>
  <c r="Z6" i="35" s="1"/>
  <c r="AA6" i="35" s="1"/>
  <c r="D7" i="35"/>
  <c r="E7" i="35" s="1"/>
  <c r="F7" i="35" s="1"/>
  <c r="G7" i="35" s="1"/>
  <c r="I7" i="35"/>
  <c r="J7" i="35" s="1"/>
  <c r="K7" i="35" s="1"/>
  <c r="L7" i="35" s="1"/>
  <c r="N7" i="35"/>
  <c r="O7" i="35" s="1"/>
  <c r="P7" i="35" s="1"/>
  <c r="Q7" i="35" s="1"/>
  <c r="S7" i="35"/>
  <c r="T7" i="35" s="1"/>
  <c r="U7" i="35" s="1"/>
  <c r="V7" i="35" s="1"/>
  <c r="X7" i="35"/>
  <c r="Y7" i="35" s="1"/>
  <c r="Z7" i="35" s="1"/>
  <c r="AA7" i="35" s="1"/>
  <c r="D8" i="35"/>
  <c r="E8" i="35" s="1"/>
  <c r="F8" i="35" s="1"/>
  <c r="G8" i="35" s="1"/>
  <c r="I8" i="35"/>
  <c r="J8" i="35" s="1"/>
  <c r="K8" i="35" s="1"/>
  <c r="L8" i="35" s="1"/>
  <c r="N8" i="35"/>
  <c r="O8" i="35" s="1"/>
  <c r="P8" i="35" s="1"/>
  <c r="Q8" i="35" s="1"/>
  <c r="S8" i="35"/>
  <c r="T8" i="35" s="1"/>
  <c r="U8" i="35" s="1"/>
  <c r="V8" i="35" s="1"/>
  <c r="X8" i="35"/>
  <c r="Y8" i="35" s="1"/>
  <c r="Z8" i="35" s="1"/>
  <c r="AA8" i="35" s="1"/>
  <c r="D9" i="35"/>
  <c r="E9" i="35" s="1"/>
  <c r="F9" i="35" s="1"/>
  <c r="G9" i="35" s="1"/>
  <c r="I9" i="35"/>
  <c r="N9" i="35"/>
  <c r="S9" i="35"/>
  <c r="T9" i="35" s="1"/>
  <c r="U9" i="35" s="1"/>
  <c r="V9" i="35" s="1"/>
  <c r="X9" i="35"/>
  <c r="Y9" i="35" s="1"/>
  <c r="Z9" i="35" s="1"/>
  <c r="AA9" i="35" s="1"/>
  <c r="D10" i="35"/>
  <c r="E10" i="35"/>
  <c r="F10" i="35" s="1"/>
  <c r="G10" i="35" s="1"/>
  <c r="I10" i="35"/>
  <c r="N10" i="35"/>
  <c r="O10" i="35"/>
  <c r="P10" i="35" s="1"/>
  <c r="Q10" i="35" s="1"/>
  <c r="S10" i="35"/>
  <c r="X10" i="35"/>
  <c r="Y10" i="35" s="1"/>
  <c r="Z10" i="35" s="1"/>
  <c r="AA10" i="35" s="1"/>
  <c r="M11" i="35"/>
  <c r="R11" i="35"/>
  <c r="W11" i="35"/>
  <c r="AB11" i="35"/>
  <c r="I13" i="35"/>
  <c r="N13" i="35"/>
  <c r="S13" i="35"/>
  <c r="X13" i="35"/>
  <c r="Y13" i="35" s="1"/>
  <c r="I14" i="35"/>
  <c r="J14" i="35" s="1"/>
  <c r="N14" i="35"/>
  <c r="O14" i="35" s="1"/>
  <c r="P14" i="35" s="1"/>
  <c r="S14" i="35"/>
  <c r="T14" i="35" s="1"/>
  <c r="X14" i="35"/>
  <c r="Y14" i="35" s="1"/>
  <c r="I15" i="35"/>
  <c r="J15" i="35" s="1"/>
  <c r="K15" i="35" s="1"/>
  <c r="L15" i="35" s="1"/>
  <c r="N15" i="35"/>
  <c r="O15" i="35" s="1"/>
  <c r="P15" i="35" s="1"/>
  <c r="Q15" i="35" s="1"/>
  <c r="S15" i="35"/>
  <c r="T15" i="35" s="1"/>
  <c r="U15" i="35" s="1"/>
  <c r="V15" i="35"/>
  <c r="X15" i="35"/>
  <c r="I16" i="35"/>
  <c r="J16" i="35" s="1"/>
  <c r="K16" i="35" s="1"/>
  <c r="L16" i="35" s="1"/>
  <c r="N16" i="35"/>
  <c r="O16" i="35" s="1"/>
  <c r="P16" i="35" s="1"/>
  <c r="Q16" i="35" s="1"/>
  <c r="S16" i="35"/>
  <c r="T16" i="35" s="1"/>
  <c r="U16" i="35" s="1"/>
  <c r="V16" i="35" s="1"/>
  <c r="X16" i="35"/>
  <c r="Y16" i="35" s="1"/>
  <c r="Z16" i="35" s="1"/>
  <c r="AA16" i="35" s="1"/>
  <c r="I17" i="35"/>
  <c r="J17" i="35" s="1"/>
  <c r="K17" i="35" s="1"/>
  <c r="L17" i="35" s="1"/>
  <c r="N17" i="35"/>
  <c r="O17" i="35" s="1"/>
  <c r="P17" i="35" s="1"/>
  <c r="Q17" i="35" s="1"/>
  <c r="S17" i="35"/>
  <c r="T17" i="35" s="1"/>
  <c r="U17" i="35" s="1"/>
  <c r="V17" i="35" s="1"/>
  <c r="X17" i="35"/>
  <c r="Y17" i="35" s="1"/>
  <c r="Z17" i="35" s="1"/>
  <c r="AA17" i="35" s="1"/>
  <c r="I18" i="35"/>
  <c r="J18" i="35" s="1"/>
  <c r="K18" i="35" s="1"/>
  <c r="L18" i="35" s="1"/>
  <c r="N18" i="35"/>
  <c r="O18" i="35" s="1"/>
  <c r="P18" i="35" s="1"/>
  <c r="Q18" i="35" s="1"/>
  <c r="S18" i="35"/>
  <c r="T18" i="35" s="1"/>
  <c r="U18" i="35" s="1"/>
  <c r="V18" i="35"/>
  <c r="X18" i="35"/>
  <c r="Y18" i="35" s="1"/>
  <c r="Z18" i="35" s="1"/>
  <c r="AA18" i="35" s="1"/>
  <c r="I19" i="35"/>
  <c r="J19" i="35" s="1"/>
  <c r="K19" i="35" s="1"/>
  <c r="L19" i="35" s="1"/>
  <c r="N19" i="35"/>
  <c r="O19" i="35" s="1"/>
  <c r="P19" i="35" s="1"/>
  <c r="Q19" i="35" s="1"/>
  <c r="S19" i="35"/>
  <c r="X19" i="35"/>
  <c r="Y19" i="35" s="1"/>
  <c r="Z19" i="35" s="1"/>
  <c r="AA19" i="35" s="1"/>
  <c r="H20" i="35"/>
  <c r="M20" i="35"/>
  <c r="R20" i="35"/>
  <c r="W20" i="35"/>
  <c r="AB20" i="35"/>
  <c r="C25" i="35"/>
  <c r="I25" i="35" s="1"/>
  <c r="C26" i="35"/>
  <c r="J26" i="35" s="1"/>
  <c r="T26" i="35"/>
  <c r="AA26" i="35"/>
  <c r="C27" i="35"/>
  <c r="H27" i="35" s="1"/>
  <c r="D27" i="35"/>
  <c r="E27" i="35"/>
  <c r="G27" i="35"/>
  <c r="S27" i="35"/>
  <c r="T27" i="35"/>
  <c r="U27" i="35"/>
  <c r="C29" i="35"/>
  <c r="E29" i="35" s="1"/>
  <c r="C30" i="35"/>
  <c r="I30" i="35" s="1"/>
  <c r="C31" i="35"/>
  <c r="J31" i="35" s="1"/>
  <c r="D31" i="35"/>
  <c r="L31" i="35"/>
  <c r="T31" i="35"/>
  <c r="W31" i="35"/>
  <c r="AA31" i="35"/>
  <c r="AB31" i="35"/>
  <c r="M36" i="35"/>
  <c r="R36" i="35"/>
  <c r="W36" i="35"/>
  <c r="AB36" i="35"/>
  <c r="H39" i="35"/>
  <c r="M39" i="35"/>
  <c r="R39" i="35"/>
  <c r="W39" i="35"/>
  <c r="AB39" i="35"/>
  <c r="M42" i="35"/>
  <c r="R42" i="35"/>
  <c r="W42" i="35"/>
  <c r="AB42" i="35"/>
  <c r="B5" i="34"/>
  <c r="Y2" i="32"/>
  <c r="Y3" i="32"/>
  <c r="Y4" i="32"/>
  <c r="E5" i="32"/>
  <c r="Y5" i="32"/>
  <c r="L26" i="35" l="1"/>
  <c r="AA29" i="35"/>
  <c r="K25" i="35"/>
  <c r="S32" i="35"/>
  <c r="O13" i="35"/>
  <c r="M29" i="35"/>
  <c r="U29" i="35"/>
  <c r="O31" i="35"/>
  <c r="K29" i="35"/>
  <c r="J3" i="30"/>
  <c r="J6" i="30" s="1"/>
  <c r="X20" i="35"/>
  <c r="S36" i="35"/>
  <c r="G69" i="29"/>
  <c r="H81" i="29"/>
  <c r="F57" i="29"/>
  <c r="G44" i="29"/>
  <c r="U20" i="29"/>
  <c r="H8" i="29"/>
  <c r="H30" i="33"/>
  <c r="I29" i="33"/>
  <c r="N27" i="35"/>
  <c r="Z27" i="35"/>
  <c r="M27" i="35"/>
  <c r="J34" i="35"/>
  <c r="R27" i="35"/>
  <c r="Q27" i="35"/>
  <c r="O27" i="35"/>
  <c r="AA27" i="35"/>
  <c r="W27" i="35"/>
  <c r="J27" i="35"/>
  <c r="X11" i="35"/>
  <c r="Y27" i="35"/>
  <c r="L27" i="35"/>
  <c r="I39" i="35"/>
  <c r="X27" i="35"/>
  <c r="K27" i="35"/>
  <c r="S42" i="35"/>
  <c r="S30" i="35"/>
  <c r="Q30" i="35"/>
  <c r="V27" i="35"/>
  <c r="I27" i="35"/>
  <c r="I32" i="35" s="1"/>
  <c r="N39" i="35"/>
  <c r="S39" i="35"/>
  <c r="Y26" i="35"/>
  <c r="Y31" i="35"/>
  <c r="AA30" i="35"/>
  <c r="W26" i="35"/>
  <c r="Y15" i="35"/>
  <c r="Z15" i="35" s="1"/>
  <c r="AA15" i="35" s="1"/>
  <c r="J9" i="35"/>
  <c r="K9" i="35" s="1"/>
  <c r="L9" i="35" s="1"/>
  <c r="S31" i="35"/>
  <c r="Q26" i="35"/>
  <c r="S11" i="35"/>
  <c r="T43" i="35"/>
  <c r="S26" i="35"/>
  <c r="Q31" i="35"/>
  <c r="O26" i="35"/>
  <c r="S20" i="35"/>
  <c r="N11" i="35"/>
  <c r="K26" i="35"/>
  <c r="N20" i="35"/>
  <c r="T5" i="35"/>
  <c r="T36" i="35" s="1"/>
  <c r="S33" i="35"/>
  <c r="I42" i="35"/>
  <c r="I31" i="35"/>
  <c r="G26" i="35"/>
  <c r="N36" i="35"/>
  <c r="N33" i="35"/>
  <c r="J13" i="35"/>
  <c r="I11" i="35"/>
  <c r="X33" i="35"/>
  <c r="K31" i="35"/>
  <c r="I26" i="35"/>
  <c r="I34" i="35" s="1"/>
  <c r="I36" i="35"/>
  <c r="G31" i="35"/>
  <c r="AB27" i="35"/>
  <c r="P27" i="35"/>
  <c r="AB26" i="35"/>
  <c r="D26" i="35"/>
  <c r="J5" i="35"/>
  <c r="K5" i="35" s="1"/>
  <c r="I33" i="35"/>
  <c r="D4" i="37"/>
  <c r="F2" i="32" s="1"/>
  <c r="E2" i="37"/>
  <c r="E3" i="32"/>
  <c r="Y30" i="35"/>
  <c r="S29" i="35"/>
  <c r="U14" i="35"/>
  <c r="T10" i="35"/>
  <c r="U10" i="35" s="1"/>
  <c r="V10" i="35" s="1"/>
  <c r="S37" i="35"/>
  <c r="S40" i="35"/>
  <c r="D25" i="35"/>
  <c r="L25" i="35"/>
  <c r="T25" i="35"/>
  <c r="AB25" i="35"/>
  <c r="E25" i="35"/>
  <c r="M25" i="35"/>
  <c r="M32" i="35" s="1"/>
  <c r="U25" i="35"/>
  <c r="F25" i="35"/>
  <c r="N25" i="35"/>
  <c r="N32" i="35" s="1"/>
  <c r="V25" i="35"/>
  <c r="G25" i="35"/>
  <c r="O25" i="35"/>
  <c r="W25" i="35"/>
  <c r="H25" i="35"/>
  <c r="P25" i="35"/>
  <c r="X25" i="35"/>
  <c r="X32" i="35" s="1"/>
  <c r="J25" i="35"/>
  <c r="R25" i="35"/>
  <c r="R32" i="35" s="1"/>
  <c r="Z25" i="35"/>
  <c r="K30" i="35"/>
  <c r="AA25" i="35"/>
  <c r="J10" i="35"/>
  <c r="K10" i="35" s="1"/>
  <c r="L10" i="35" s="1"/>
  <c r="Q14" i="35"/>
  <c r="F29" i="35"/>
  <c r="N29" i="35"/>
  <c r="V29" i="35"/>
  <c r="G29" i="35"/>
  <c r="O29" i="35"/>
  <c r="W29" i="35"/>
  <c r="H29" i="35"/>
  <c r="P29" i="35"/>
  <c r="X29" i="35"/>
  <c r="I29" i="35"/>
  <c r="Q29" i="35"/>
  <c r="Y29" i="35"/>
  <c r="J29" i="35"/>
  <c r="R29" i="35"/>
  <c r="Z29" i="35"/>
  <c r="D29" i="35"/>
  <c r="L29" i="35"/>
  <c r="T29" i="35"/>
  <c r="AB29" i="35"/>
  <c r="Y25" i="35"/>
  <c r="K14" i="35"/>
  <c r="J43" i="35"/>
  <c r="D30" i="35"/>
  <c r="L30" i="35"/>
  <c r="T30" i="35"/>
  <c r="T40" i="35" s="1"/>
  <c r="AB30" i="35"/>
  <c r="E30" i="35"/>
  <c r="M30" i="35"/>
  <c r="U30" i="35"/>
  <c r="F30" i="35"/>
  <c r="N30" i="35"/>
  <c r="V30" i="35"/>
  <c r="G30" i="35"/>
  <c r="O30" i="35"/>
  <c r="W30" i="35"/>
  <c r="H30" i="35"/>
  <c r="P30" i="35"/>
  <c r="X30" i="35"/>
  <c r="J30" i="35"/>
  <c r="J37" i="35" s="1"/>
  <c r="R30" i="35"/>
  <c r="Z30" i="35"/>
  <c r="S25" i="35"/>
  <c r="Z14" i="35"/>
  <c r="Z13" i="35"/>
  <c r="P13" i="35"/>
  <c r="O20" i="35"/>
  <c r="Q25" i="35"/>
  <c r="X42" i="35"/>
  <c r="X31" i="35"/>
  <c r="P31" i="35"/>
  <c r="H31" i="35"/>
  <c r="F27" i="35"/>
  <c r="X26" i="35"/>
  <c r="P26" i="35"/>
  <c r="H26" i="35"/>
  <c r="O9" i="35"/>
  <c r="P9" i="35" s="1"/>
  <c r="Q9" i="35" s="1"/>
  <c r="T6" i="35"/>
  <c r="U6" i="35" s="1"/>
  <c r="V6" i="35" s="1"/>
  <c r="Y5" i="35"/>
  <c r="Y33" i="35" s="1"/>
  <c r="O5" i="35"/>
  <c r="O33" i="35" s="1"/>
  <c r="N42" i="35"/>
  <c r="X39" i="35"/>
  <c r="V31" i="35"/>
  <c r="N31" i="35"/>
  <c r="F31" i="35"/>
  <c r="V26" i="35"/>
  <c r="N26" i="35"/>
  <c r="F26" i="35"/>
  <c r="U31" i="35"/>
  <c r="M31" i="35"/>
  <c r="E31" i="35"/>
  <c r="U26" i="35"/>
  <c r="M26" i="35"/>
  <c r="M34" i="35" s="1"/>
  <c r="E26" i="35"/>
  <c r="I20" i="35"/>
  <c r="T19" i="35"/>
  <c r="U19" i="35" s="1"/>
  <c r="V19" i="35" s="1"/>
  <c r="T13" i="35"/>
  <c r="X36" i="35"/>
  <c r="Z31" i="35"/>
  <c r="R31" i="35"/>
  <c r="Z26" i="35"/>
  <c r="R26" i="35"/>
  <c r="R34" i="35" s="1"/>
  <c r="D8" i="33"/>
  <c r="D21" i="33"/>
  <c r="E21" i="33"/>
  <c r="W5" i="34"/>
  <c r="O34" i="35" l="1"/>
  <c r="AB40" i="35"/>
  <c r="W32" i="35"/>
  <c r="H32" i="35"/>
  <c r="P32" i="35"/>
  <c r="AB32" i="35"/>
  <c r="T32" i="35"/>
  <c r="Z32" i="35"/>
  <c r="J32" i="35"/>
  <c r="O32" i="35"/>
  <c r="Y32" i="35"/>
  <c r="K3" i="30"/>
  <c r="K6" i="30" s="1"/>
  <c r="U34" i="35"/>
  <c r="K33" i="35"/>
  <c r="W37" i="35"/>
  <c r="Y43" i="35"/>
  <c r="H69" i="29"/>
  <c r="I81" i="29"/>
  <c r="G57" i="29"/>
  <c r="T20" i="29"/>
  <c r="H44" i="29"/>
  <c r="I8" i="29"/>
  <c r="I30" i="33"/>
  <c r="J29" i="33"/>
  <c r="J40" i="35"/>
  <c r="J11" i="35"/>
  <c r="J20" i="35"/>
  <c r="J42" i="35"/>
  <c r="J36" i="35"/>
  <c r="I43" i="35"/>
  <c r="T37" i="35"/>
  <c r="O40" i="35"/>
  <c r="Q34" i="35"/>
  <c r="K13" i="35"/>
  <c r="K32" i="35" s="1"/>
  <c r="T33" i="35"/>
  <c r="I40" i="35"/>
  <c r="I37" i="35"/>
  <c r="W34" i="35"/>
  <c r="W43" i="35"/>
  <c r="K34" i="35"/>
  <c r="Z34" i="35"/>
  <c r="O37" i="35"/>
  <c r="Q37" i="35"/>
  <c r="AB34" i="35"/>
  <c r="AB43" i="35"/>
  <c r="S34" i="35"/>
  <c r="S43" i="35"/>
  <c r="O43" i="35"/>
  <c r="N34" i="35"/>
  <c r="P34" i="35"/>
  <c r="U5" i="35"/>
  <c r="U33" i="35" s="1"/>
  <c r="W40" i="35"/>
  <c r="J33" i="35"/>
  <c r="Y34" i="35"/>
  <c r="X34" i="35"/>
  <c r="Y20" i="35"/>
  <c r="Y37" i="35"/>
  <c r="T34" i="35"/>
  <c r="AB37" i="35"/>
  <c r="H43" i="35"/>
  <c r="H34" i="35"/>
  <c r="J39" i="35"/>
  <c r="F2" i="37"/>
  <c r="E4" i="37"/>
  <c r="F5" i="32"/>
  <c r="F4" i="32"/>
  <c r="F3" i="32"/>
  <c r="O36" i="35"/>
  <c r="O39" i="35"/>
  <c r="P5" i="35"/>
  <c r="P33" i="35" s="1"/>
  <c r="AA13" i="35"/>
  <c r="Z20" i="35"/>
  <c r="O42" i="35"/>
  <c r="N43" i="35"/>
  <c r="N37" i="35"/>
  <c r="N40" i="35"/>
  <c r="Q13" i="35"/>
  <c r="Q32" i="35" s="1"/>
  <c r="P20" i="35"/>
  <c r="Q43" i="35"/>
  <c r="R37" i="35"/>
  <c r="R40" i="35"/>
  <c r="R43" i="35"/>
  <c r="T11" i="35"/>
  <c r="U13" i="35"/>
  <c r="U32" i="35" s="1"/>
  <c r="T20" i="35"/>
  <c r="Y36" i="35"/>
  <c r="Z5" i="35"/>
  <c r="Z33" i="35" s="1"/>
  <c r="Y39" i="35"/>
  <c r="Y42" i="35"/>
  <c r="X40" i="35"/>
  <c r="X43" i="35"/>
  <c r="X37" i="35"/>
  <c r="Z37" i="35"/>
  <c r="Z40" i="35"/>
  <c r="AA14" i="35"/>
  <c r="AA34" i="35" s="1"/>
  <c r="Z43" i="35"/>
  <c r="U37" i="35"/>
  <c r="U40" i="35"/>
  <c r="P40" i="35"/>
  <c r="P37" i="35"/>
  <c r="U39" i="35"/>
  <c r="V5" i="35"/>
  <c r="U36" i="35"/>
  <c r="L13" i="35"/>
  <c r="K20" i="35"/>
  <c r="P43" i="35"/>
  <c r="O11" i="35"/>
  <c r="T39" i="35"/>
  <c r="K42" i="35"/>
  <c r="K37" i="35"/>
  <c r="K40" i="35"/>
  <c r="K43" i="35"/>
  <c r="L14" i="35"/>
  <c r="L34" i="35" s="1"/>
  <c r="U43" i="35"/>
  <c r="U42" i="35"/>
  <c r="V14" i="35"/>
  <c r="V34" i="35" s="1"/>
  <c r="Y40" i="35"/>
  <c r="M43" i="35"/>
  <c r="M37" i="35"/>
  <c r="M40" i="35"/>
  <c r="H40" i="35"/>
  <c r="H37" i="35"/>
  <c r="Y11" i="35"/>
  <c r="Q40" i="35"/>
  <c r="T42" i="35"/>
  <c r="L5" i="35"/>
  <c r="L33" i="35" s="1"/>
  <c r="K39" i="35"/>
  <c r="K36" i="35"/>
  <c r="F21" i="33"/>
  <c r="E8" i="33"/>
  <c r="D9" i="33"/>
  <c r="D10" i="33" s="1"/>
  <c r="W6" i="34"/>
  <c r="V5" i="34"/>
  <c r="AA32" i="35" l="1"/>
  <c r="L32" i="35"/>
  <c r="K11" i="35"/>
  <c r="L3" i="30"/>
  <c r="L6" i="30" s="1"/>
  <c r="I69" i="29"/>
  <c r="J81" i="29"/>
  <c r="H57" i="29"/>
  <c r="I44" i="29"/>
  <c r="S20" i="29"/>
  <c r="J8" i="29"/>
  <c r="K29" i="33"/>
  <c r="J30" i="33"/>
  <c r="V33" i="35"/>
  <c r="P11" i="35"/>
  <c r="G2" i="32"/>
  <c r="G3" i="32"/>
  <c r="G4" i="32"/>
  <c r="G5" i="32"/>
  <c r="F4" i="37"/>
  <c r="G2" i="37"/>
  <c r="U11" i="35"/>
  <c r="U20" i="35"/>
  <c r="V13" i="35"/>
  <c r="V32" i="35" s="1"/>
  <c r="Q5" i="35"/>
  <c r="Q33" i="35" s="1"/>
  <c r="P36" i="35"/>
  <c r="P39" i="35"/>
  <c r="P42" i="35"/>
  <c r="AA20" i="35"/>
  <c r="L11" i="35"/>
  <c r="L20" i="35"/>
  <c r="AA37" i="35"/>
  <c r="AA40" i="35"/>
  <c r="AA43" i="35"/>
  <c r="AA5" i="35"/>
  <c r="AA33" i="35" s="1"/>
  <c r="Z36" i="35"/>
  <c r="Z39" i="35"/>
  <c r="V43" i="35"/>
  <c r="V42" i="35"/>
  <c r="V36" i="35"/>
  <c r="V39" i="35"/>
  <c r="Z42" i="35"/>
  <c r="Q20" i="35"/>
  <c r="V40" i="35"/>
  <c r="L42" i="35"/>
  <c r="L43" i="35"/>
  <c r="L40" i="35"/>
  <c r="L37" i="35"/>
  <c r="Z11" i="35"/>
  <c r="V37" i="35"/>
  <c r="L39" i="35"/>
  <c r="L36" i="35"/>
  <c r="V6" i="34"/>
  <c r="U5" i="34"/>
  <c r="G21" i="33"/>
  <c r="F8" i="33"/>
  <c r="E9" i="33"/>
  <c r="E10" i="33" s="1"/>
  <c r="B35" i="29" l="1"/>
  <c r="B58" i="2" s="1"/>
  <c r="E23" i="1" s="1"/>
  <c r="F23" i="1" s="1"/>
  <c r="B36" i="29"/>
  <c r="B57" i="2" s="1"/>
  <c r="D23" i="1" s="1"/>
  <c r="M3" i="30"/>
  <c r="M6" i="30" s="1"/>
  <c r="J69" i="29"/>
  <c r="K81" i="29"/>
  <c r="I57" i="29"/>
  <c r="R20" i="29"/>
  <c r="J44" i="29"/>
  <c r="K8" i="29"/>
  <c r="L29" i="33"/>
  <c r="K30" i="33"/>
  <c r="Q11" i="35"/>
  <c r="G4" i="37"/>
  <c r="H2" i="37"/>
  <c r="H5" i="32"/>
  <c r="H2" i="32"/>
  <c r="H3" i="32"/>
  <c r="H4" i="32"/>
  <c r="AA36" i="35"/>
  <c r="AA39" i="35"/>
  <c r="Q36" i="35"/>
  <c r="Q39" i="35"/>
  <c r="Q42" i="35"/>
  <c r="V20" i="35"/>
  <c r="V11" i="35"/>
  <c r="AA11" i="35"/>
  <c r="AA42" i="35"/>
  <c r="U6" i="34"/>
  <c r="T5" i="34"/>
  <c r="H21" i="33"/>
  <c r="G8" i="33"/>
  <c r="F9" i="33"/>
  <c r="F10" i="33" s="1"/>
  <c r="N3" i="30" l="1"/>
  <c r="N6" i="30" s="1"/>
  <c r="K69" i="29"/>
  <c r="L81" i="29"/>
  <c r="J57" i="29"/>
  <c r="K44" i="29"/>
  <c r="Q20" i="29"/>
  <c r="L8" i="29"/>
  <c r="M29" i="33"/>
  <c r="L30" i="33"/>
  <c r="H4" i="37"/>
  <c r="I2" i="37"/>
  <c r="I5" i="32"/>
  <c r="I2" i="32"/>
  <c r="I4" i="32"/>
  <c r="I3" i="32"/>
  <c r="S5" i="34"/>
  <c r="T6" i="34"/>
  <c r="I21" i="33"/>
  <c r="H8" i="33"/>
  <c r="G9" i="33"/>
  <c r="G10" i="33" s="1"/>
  <c r="O3" i="30" l="1"/>
  <c r="O6" i="30" s="1"/>
  <c r="D3" i="30"/>
  <c r="D6" i="30" s="1"/>
  <c r="B32" i="33"/>
  <c r="L69" i="29"/>
  <c r="M81" i="29"/>
  <c r="K57" i="29"/>
  <c r="P20" i="29"/>
  <c r="L44" i="29"/>
  <c r="M8" i="29"/>
  <c r="M30" i="33"/>
  <c r="N29" i="33"/>
  <c r="I4" i="37"/>
  <c r="J2" i="37"/>
  <c r="J3" i="32"/>
  <c r="J4" i="32"/>
  <c r="J5" i="32"/>
  <c r="J2" i="32"/>
  <c r="H9" i="33"/>
  <c r="H10" i="33" s="1"/>
  <c r="I8" i="33"/>
  <c r="R5" i="34"/>
  <c r="S6" i="34"/>
  <c r="J21" i="33"/>
  <c r="P3" i="30" l="1"/>
  <c r="P6" i="30" s="1"/>
  <c r="M69" i="29"/>
  <c r="N81" i="29"/>
  <c r="L57" i="29"/>
  <c r="M44" i="29"/>
  <c r="O20" i="29"/>
  <c r="B12" i="29"/>
  <c r="B47" i="2" s="1"/>
  <c r="D17" i="1" s="1"/>
  <c r="N8" i="29"/>
  <c r="N30" i="33"/>
  <c r="O29" i="33"/>
  <c r="J4" i="37"/>
  <c r="K2" i="37"/>
  <c r="K3" i="32"/>
  <c r="K4" i="32"/>
  <c r="K5" i="32"/>
  <c r="K2" i="32"/>
  <c r="I9" i="33"/>
  <c r="I10" i="33" s="1"/>
  <c r="J8" i="33"/>
  <c r="Q5" i="34"/>
  <c r="R6" i="34"/>
  <c r="K21" i="33"/>
  <c r="Q3" i="30" l="1"/>
  <c r="Q6" i="30" s="1"/>
  <c r="B85" i="29"/>
  <c r="B3" i="2" s="1"/>
  <c r="D5" i="1" s="1"/>
  <c r="N69" i="29"/>
  <c r="O81" i="29"/>
  <c r="M57" i="29"/>
  <c r="N20" i="29"/>
  <c r="N44" i="29"/>
  <c r="O8" i="29"/>
  <c r="O30" i="33"/>
  <c r="P29" i="33"/>
  <c r="L2" i="37"/>
  <c r="K4" i="37"/>
  <c r="L3" i="32"/>
  <c r="L2" i="32"/>
  <c r="L5" i="32"/>
  <c r="L4" i="32"/>
  <c r="L21" i="33"/>
  <c r="Q6" i="34"/>
  <c r="P5" i="34"/>
  <c r="J9" i="33"/>
  <c r="J10" i="33" s="1"/>
  <c r="K8" i="33"/>
  <c r="R3" i="30" l="1"/>
  <c r="R6" i="30" s="1"/>
  <c r="C13" i="33"/>
  <c r="B23" i="33"/>
  <c r="B73" i="29"/>
  <c r="B36" i="2" s="1"/>
  <c r="D21" i="1" s="1"/>
  <c r="B61" i="29"/>
  <c r="B14" i="2" s="1"/>
  <c r="D22" i="1" s="1"/>
  <c r="B48" i="29"/>
  <c r="B25" i="2" s="1"/>
  <c r="D20" i="1" s="1"/>
  <c r="O69" i="29"/>
  <c r="P81" i="29"/>
  <c r="N57" i="29"/>
  <c r="O44" i="29"/>
  <c r="M20" i="29"/>
  <c r="P8" i="29"/>
  <c r="Q29" i="33"/>
  <c r="P30" i="33"/>
  <c r="M4" i="32"/>
  <c r="M2" i="32"/>
  <c r="M3" i="32"/>
  <c r="M5" i="32"/>
  <c r="L4" i="37"/>
  <c r="M2" i="37"/>
  <c r="M21" i="33"/>
  <c r="K9" i="33"/>
  <c r="K10" i="33" s="1"/>
  <c r="L8" i="33"/>
  <c r="P6" i="34"/>
  <c r="O5" i="34"/>
  <c r="S3" i="30" l="1"/>
  <c r="S6" i="30" s="1"/>
  <c r="P69" i="29"/>
  <c r="Q81" i="29"/>
  <c r="O57" i="29"/>
  <c r="L20" i="29"/>
  <c r="P44" i="29"/>
  <c r="Q8" i="29"/>
  <c r="R29" i="33"/>
  <c r="Q30" i="33"/>
  <c r="N2" i="37"/>
  <c r="M4" i="37"/>
  <c r="N4" i="32"/>
  <c r="D4" i="32" s="1"/>
  <c r="N2" i="32"/>
  <c r="N5" i="32"/>
  <c r="D5" i="32" s="1"/>
  <c r="N3" i="32"/>
  <c r="D3" i="32" s="1"/>
  <c r="O6" i="34"/>
  <c r="N5" i="34"/>
  <c r="N21" i="33"/>
  <c r="M8" i="33"/>
  <c r="L9" i="33"/>
  <c r="L10" i="33" s="1"/>
  <c r="T3" i="30" l="1"/>
  <c r="T6" i="30" s="1"/>
  <c r="C1" i="33"/>
  <c r="B12" i="33"/>
  <c r="B3" i="6" s="1"/>
  <c r="D24" i="1" s="1"/>
  <c r="Q69" i="29"/>
  <c r="D2" i="32"/>
  <c r="R81" i="29"/>
  <c r="P57" i="29"/>
  <c r="Q44" i="29"/>
  <c r="K20" i="29"/>
  <c r="R8" i="29"/>
  <c r="S29" i="33"/>
  <c r="R30" i="33"/>
  <c r="O2" i="32"/>
  <c r="O5" i="32"/>
  <c r="O4" i="32"/>
  <c r="O3" i="32"/>
  <c r="N4" i="37"/>
  <c r="O2" i="37"/>
  <c r="N8" i="33"/>
  <c r="M9" i="33"/>
  <c r="M10" i="33" s="1"/>
  <c r="O21" i="33"/>
  <c r="N6" i="34"/>
  <c r="M5" i="34"/>
  <c r="U3" i="30" l="1"/>
  <c r="U6" i="30" s="1"/>
  <c r="R69" i="29"/>
  <c r="S81" i="29"/>
  <c r="Q57" i="29"/>
  <c r="J20" i="29"/>
  <c r="R44" i="29"/>
  <c r="S8" i="29"/>
  <c r="S30" i="33"/>
  <c r="T29" i="33"/>
  <c r="P5" i="32"/>
  <c r="P2" i="32"/>
  <c r="P4" i="32"/>
  <c r="P3" i="32"/>
  <c r="O4" i="37"/>
  <c r="P2" i="37"/>
  <c r="M6" i="34"/>
  <c r="L5" i="34"/>
  <c r="P21" i="33"/>
  <c r="O8" i="33"/>
  <c r="N9" i="33"/>
  <c r="N10" i="33" s="1"/>
  <c r="V3" i="30" l="1"/>
  <c r="V6" i="30" s="1"/>
  <c r="S69" i="29"/>
  <c r="T81" i="29"/>
  <c r="R57" i="29"/>
  <c r="S44" i="29"/>
  <c r="I20" i="29"/>
  <c r="T8" i="29"/>
  <c r="T30" i="33"/>
  <c r="U29" i="33"/>
  <c r="P4" i="37"/>
  <c r="Q2" i="37"/>
  <c r="Q5" i="32"/>
  <c r="Q2" i="32"/>
  <c r="Q4" i="32"/>
  <c r="Q3" i="32"/>
  <c r="P8" i="33"/>
  <c r="O9" i="33"/>
  <c r="O10" i="33" s="1"/>
  <c r="K5" i="34"/>
  <c r="L6" i="34"/>
  <c r="Q21" i="33"/>
  <c r="W3" i="30" l="1"/>
  <c r="W6" i="30" s="1"/>
  <c r="T69" i="29"/>
  <c r="U81" i="29"/>
  <c r="S57" i="29"/>
  <c r="H20" i="29"/>
  <c r="T44" i="29"/>
  <c r="U8" i="29"/>
  <c r="V29" i="33"/>
  <c r="W29" i="33" s="1"/>
  <c r="W30" i="33" s="1"/>
  <c r="U30" i="33"/>
  <c r="R3" i="32"/>
  <c r="R5" i="32"/>
  <c r="R2" i="32"/>
  <c r="R4" i="32"/>
  <c r="Q4" i="37"/>
  <c r="R2" i="37"/>
  <c r="P9" i="33"/>
  <c r="P10" i="33" s="1"/>
  <c r="Q8" i="33"/>
  <c r="R21" i="33"/>
  <c r="J5" i="34"/>
  <c r="K6" i="34"/>
  <c r="X3" i="30" l="1"/>
  <c r="X6" i="30" s="1"/>
  <c r="U69" i="29"/>
  <c r="V81" i="29"/>
  <c r="B84" i="29"/>
  <c r="B4" i="2" s="1"/>
  <c r="E5" i="1" s="1"/>
  <c r="F5" i="1" s="1"/>
  <c r="T57" i="29"/>
  <c r="U44" i="29"/>
  <c r="G20" i="29"/>
  <c r="V8" i="29"/>
  <c r="V30" i="33"/>
  <c r="B31" i="33" s="1"/>
  <c r="S3" i="32"/>
  <c r="S5" i="32"/>
  <c r="S2" i="32"/>
  <c r="S4" i="32"/>
  <c r="R4" i="37"/>
  <c r="S2" i="37"/>
  <c r="J6" i="34"/>
  <c r="I5" i="34"/>
  <c r="Q9" i="33"/>
  <c r="Q10" i="33" s="1"/>
  <c r="R8" i="33"/>
  <c r="S21" i="33"/>
  <c r="C3" i="30" l="1"/>
  <c r="C6" i="30" s="1"/>
  <c r="B11" i="29"/>
  <c r="B48" i="2" s="1"/>
  <c r="E17" i="1" s="1"/>
  <c r="F17" i="1" s="1"/>
  <c r="V69" i="29"/>
  <c r="U57" i="29"/>
  <c r="F20" i="29"/>
  <c r="V44" i="29"/>
  <c r="T2" i="37"/>
  <c r="S4" i="37"/>
  <c r="T3" i="32"/>
  <c r="T4" i="32"/>
  <c r="T5" i="32"/>
  <c r="T2" i="32"/>
  <c r="I6" i="34"/>
  <c r="H5" i="34"/>
  <c r="T21" i="33"/>
  <c r="R9" i="33"/>
  <c r="R10" i="33" s="1"/>
  <c r="S8" i="33"/>
  <c r="S9" i="33" s="1"/>
  <c r="V57" i="29" l="1"/>
  <c r="E20" i="29"/>
  <c r="D20" i="29" s="1"/>
  <c r="T4" i="37"/>
  <c r="U2" i="37"/>
  <c r="U4" i="32"/>
  <c r="U2" i="32"/>
  <c r="U5" i="32"/>
  <c r="U3" i="32"/>
  <c r="U21" i="33"/>
  <c r="W21" i="33"/>
  <c r="H6" i="34"/>
  <c r="G5" i="34"/>
  <c r="S10" i="33"/>
  <c r="T8" i="33"/>
  <c r="B47" i="29" l="1"/>
  <c r="B26" i="2" s="1"/>
  <c r="E20" i="1" s="1"/>
  <c r="F20" i="1" s="1"/>
  <c r="C20" i="29"/>
  <c r="B72" i="29"/>
  <c r="B37" i="2" s="1"/>
  <c r="E21" i="1" s="1"/>
  <c r="F21" i="1" s="1"/>
  <c r="W57" i="29"/>
  <c r="V2" i="37"/>
  <c r="V4" i="37" s="1"/>
  <c r="U4" i="37"/>
  <c r="V2" i="32"/>
  <c r="V4" i="32"/>
  <c r="V5" i="32"/>
  <c r="V3" i="32"/>
  <c r="V21" i="33"/>
  <c r="B22" i="33" s="1"/>
  <c r="G6" i="34"/>
  <c r="F5" i="34"/>
  <c r="U8" i="33"/>
  <c r="T9" i="33"/>
  <c r="T10" i="33" s="1"/>
  <c r="B17" i="29" l="1"/>
  <c r="W2" i="32"/>
  <c r="W4" i="32"/>
  <c r="W3" i="32"/>
  <c r="W5" i="32"/>
  <c r="X5" i="32"/>
  <c r="C5" i="32" s="1"/>
  <c r="X2" i="32"/>
  <c r="X3" i="32"/>
  <c r="C3" i="32" s="1"/>
  <c r="X4" i="32"/>
  <c r="V8" i="33"/>
  <c r="U9" i="33"/>
  <c r="U10" i="33" s="1"/>
  <c r="F6" i="34"/>
  <c r="E5" i="34"/>
  <c r="D6" i="34" s="1"/>
  <c r="B23" i="29" l="1"/>
  <c r="B67" i="2" s="1"/>
  <c r="E11" i="1" s="1"/>
  <c r="F11" i="1" s="1"/>
  <c r="B24" i="29"/>
  <c r="B66" i="2" s="1"/>
  <c r="D11" i="1" s="1"/>
  <c r="B60" i="29"/>
  <c r="B15" i="2" s="1"/>
  <c r="E22" i="1" s="1"/>
  <c r="F22" i="1" s="1"/>
  <c r="C2" i="32"/>
  <c r="C4" i="32"/>
  <c r="E6" i="34"/>
  <c r="W8" i="33"/>
  <c r="W9" i="33" s="1"/>
  <c r="W10" i="33" s="1"/>
  <c r="V9" i="33"/>
  <c r="V10" i="33" s="1"/>
  <c r="B11" i="33" s="1"/>
  <c r="B7" i="34" l="1"/>
  <c r="B6" i="34"/>
  <c r="B12" i="34"/>
  <c r="B13" i="34"/>
  <c r="B3" i="31"/>
  <c r="B4" i="31"/>
  <c r="G4" i="31" s="1"/>
  <c r="H4" i="31" s="1"/>
  <c r="I4" i="31" s="1"/>
  <c r="J4" i="31" s="1"/>
  <c r="K4" i="31" s="1"/>
  <c r="L4" i="31" s="1"/>
  <c r="M4" i="31" s="1"/>
  <c r="N4" i="31" s="1"/>
  <c r="O4" i="31" s="1"/>
  <c r="P4" i="31" s="1"/>
  <c r="Q4" i="31" s="1"/>
  <c r="R4" i="31" s="1"/>
  <c r="S4" i="31" s="1"/>
  <c r="T4" i="31" s="1"/>
  <c r="U4" i="31" s="1"/>
  <c r="V4" i="31" s="1"/>
  <c r="W4" i="31" s="1"/>
  <c r="X4" i="31" s="1"/>
  <c r="B5" i="31"/>
  <c r="F2" i="31"/>
  <c r="G2" i="31" s="1"/>
  <c r="H2" i="31" s="1"/>
  <c r="I2" i="31" s="1"/>
  <c r="J2" i="31" s="1"/>
  <c r="K2" i="31" s="1"/>
  <c r="L2" i="31" s="1"/>
  <c r="M2" i="31" s="1"/>
  <c r="N2" i="31" s="1"/>
  <c r="O2" i="31" s="1"/>
  <c r="P2" i="31" s="1"/>
  <c r="Q2" i="31" s="1"/>
  <c r="R2" i="31" s="1"/>
  <c r="S2" i="31" s="1"/>
  <c r="T2" i="31" s="1"/>
  <c r="U2" i="31" s="1"/>
  <c r="V2" i="31" s="1"/>
  <c r="W2" i="31" s="1"/>
  <c r="X2" i="31" s="1"/>
  <c r="B2" i="30"/>
  <c r="F2" i="30" s="1"/>
  <c r="B5" i="30"/>
  <c r="F5" i="30" s="1"/>
  <c r="G5" i="30" s="1"/>
  <c r="H5" i="30" s="1"/>
  <c r="I5" i="30" s="1"/>
  <c r="J5" i="30" s="1"/>
  <c r="K5" i="30" s="1"/>
  <c r="L5" i="30" s="1"/>
  <c r="M5" i="30" s="1"/>
  <c r="N5" i="30" s="1"/>
  <c r="O5" i="30" s="1"/>
  <c r="P5" i="30" s="1"/>
  <c r="Q5" i="30" s="1"/>
  <c r="R5" i="30" s="1"/>
  <c r="S5" i="30" s="1"/>
  <c r="T5" i="30" s="1"/>
  <c r="U5" i="30" s="1"/>
  <c r="V5" i="30" s="1"/>
  <c r="W5" i="30" s="1"/>
  <c r="X5" i="30" s="1"/>
  <c r="C2" i="31" l="1"/>
  <c r="D2" i="31"/>
  <c r="B3" i="5" s="1"/>
  <c r="D13" i="1" s="1"/>
  <c r="F3" i="31"/>
  <c r="F5" i="31"/>
  <c r="C4" i="31"/>
  <c r="D4" i="31"/>
  <c r="G2" i="30"/>
  <c r="G3" i="31" l="1"/>
  <c r="G5" i="31"/>
  <c r="H5" i="31" s="1"/>
  <c r="I5" i="31" s="1"/>
  <c r="J5" i="31" s="1"/>
  <c r="K5" i="31" s="1"/>
  <c r="L5" i="31" s="1"/>
  <c r="M5" i="31" s="1"/>
  <c r="N5" i="31" s="1"/>
  <c r="O5" i="31" s="1"/>
  <c r="P5" i="31" s="1"/>
  <c r="Q5" i="31" s="1"/>
  <c r="R5" i="31" s="1"/>
  <c r="S5" i="31" s="1"/>
  <c r="T5" i="31" s="1"/>
  <c r="U5" i="31" s="1"/>
  <c r="V5" i="31" s="1"/>
  <c r="W5" i="31" s="1"/>
  <c r="X5" i="31" s="1"/>
  <c r="H2" i="30"/>
  <c r="C5" i="30"/>
  <c r="D5" i="30"/>
  <c r="B25" i="4" s="1"/>
  <c r="D4" i="1" s="1"/>
  <c r="I2" i="30" l="1"/>
  <c r="H3" i="31"/>
  <c r="I3" i="31" s="1"/>
  <c r="J3" i="31" s="1"/>
  <c r="K3" i="31" s="1"/>
  <c r="L3" i="31" s="1"/>
  <c r="M3" i="31" s="1"/>
  <c r="N3" i="31" s="1"/>
  <c r="O3" i="31" s="1"/>
  <c r="P3" i="31" s="1"/>
  <c r="Q3" i="31" s="1"/>
  <c r="R3" i="31" s="1"/>
  <c r="S3" i="31" s="1"/>
  <c r="T3" i="31" s="1"/>
  <c r="U3" i="31" s="1"/>
  <c r="V3" i="31" s="1"/>
  <c r="W3" i="31" s="1"/>
  <c r="X3" i="31" s="1"/>
  <c r="C3" i="31"/>
  <c r="D3" i="31"/>
  <c r="C5" i="31"/>
  <c r="D5" i="31"/>
  <c r="J2" i="30" l="1"/>
  <c r="K2" i="30" s="1"/>
  <c r="L2" i="30" s="1"/>
  <c r="M2" i="30" s="1"/>
  <c r="N2" i="30" s="1"/>
  <c r="O2" i="30" s="1"/>
  <c r="P2" i="30" s="1"/>
  <c r="Q2" i="30" s="1"/>
  <c r="R2" i="30" s="1"/>
  <c r="S2" i="30" s="1"/>
  <c r="T2" i="30" s="1"/>
  <c r="U2" i="30" s="1"/>
  <c r="V2" i="30" s="1"/>
  <c r="W2" i="30" s="1"/>
  <c r="X2" i="30" s="1"/>
  <c r="D2" i="30" l="1"/>
  <c r="B14" i="4" s="1"/>
  <c r="D16" i="1" s="1"/>
  <c r="C2" i="30"/>
</calcChain>
</file>

<file path=xl/sharedStrings.xml><?xml version="1.0" encoding="utf-8"?>
<sst xmlns="http://schemas.openxmlformats.org/spreadsheetml/2006/main" count="1817" uniqueCount="692">
  <si>
    <t>Read Me First</t>
  </si>
  <si>
    <t>How to Use this Document</t>
  </si>
  <si>
    <t>Start with the Overview tab if you want to see a side by side comparison of all the high-level approachs (e.g. Marine Renewable Energy) and their sub-pathways (e.g., Solar Floating Panels).</t>
  </si>
  <si>
    <t>For each high-level approach, you can find out how we arrived at the comparison by visiting the corresponding Summary_* tabs.</t>
  </si>
  <si>
    <t>Associated tabs are color-coded to assist with navigation.</t>
  </si>
  <si>
    <t>For each high-level approach's sub-pathway, you can find how we arrived at our CO2 mitigation potential calculations (including assumptions used), by visiting the corresponding CO2_Potential_* tabs (high-level approach abbreviations found below).</t>
  </si>
  <si>
    <t>For each high-level approach, you can find out how we arrived at our market size calculations by visiting the Market_Size_Calc tab.</t>
  </si>
  <si>
    <t>CO2 Mitigation Potential Measurement Approach and Abbreviations</t>
  </si>
  <si>
    <t>Evaluation Criteria</t>
  </si>
  <si>
    <t>Definition</t>
  </si>
  <si>
    <t>Formula</t>
  </si>
  <si>
    <t>Source</t>
  </si>
  <si>
    <t>Variables used in Other Ocean Industry Growth Tab</t>
  </si>
  <si>
    <t>Median Growth Rate of Key Ocean Tech(Growth Rate, %)</t>
  </si>
  <si>
    <t>The median value of all Compound Annual Growth Rates of several offshore technologies that went through scale up in the recent past:  the offshore wind scale-up, offshore wind 10-year projection, deepwater oil and gas, seaborne trade, and marine aquaculture</t>
  </si>
  <si>
    <t>median(CAGR_offshorewindscaleup, CAGR_offshorewind10yearprojection, CAGR_deepwateroilgas, CAGR_seabornetrade, CAGR_marineaquaculture)</t>
  </si>
  <si>
    <t>Calculation</t>
  </si>
  <si>
    <t>Offshore Wind-Scale Up (GW)</t>
  </si>
  <si>
    <t>Growth Rate of the Offshore Wind Industry as it scaled up from 2010 through 2020</t>
  </si>
  <si>
    <t>Compound Annual Growth Rate: Estimated value at 2020 (taken from reference), divided by estimated value at 2010 (taken from reference), multiplied by 1/10 (the rate at which growth would occur each year from the total timeframe), subtracted by 1.</t>
  </si>
  <si>
    <t>International Renewable Energy Agency, 2022. "Wind Energy"</t>
  </si>
  <si>
    <t>Offshore Wind-Next 10 year projection (GW)</t>
  </si>
  <si>
    <t>Projected Growth Rate of the Offshore Wind Industry from 2020 through 2030</t>
  </si>
  <si>
    <t>Compound Annual Growth Rate: Estimated value at 2030 (taken from reference), divided by estimated value at 2020 (taken from reference), multiplied by 1/10 (the rate at which growth would occur each year from the total timeframe), subtracted by 1.</t>
  </si>
  <si>
    <t>International Renewable Energy Agency, 2021. "Offshore Renewables: An Action Agenda for Deployment</t>
  </si>
  <si>
    <t>Deepwater Oil and Gas (million barrels of oil equivalent/day)</t>
  </si>
  <si>
    <t>Growth Rate of the Deepwater Oil and Gas Industry from 1990 through 2022</t>
  </si>
  <si>
    <t>Compound Annual Growth Rate: Estimated value at 2022 (taken from reference), divided by estimated value at 1990 (taken from reference), multiplied by 1/32 (the rate at which growth would occur each year from the total timeframe), subtracted by 1.</t>
  </si>
  <si>
    <t>McKay and Rodger, 2022. "Global deepwater production to increase 60%. Wood and Mackenzie</t>
  </si>
  <si>
    <t>Seaborne Trade (billions of tons)</t>
  </si>
  <si>
    <t>Growth Rate of Seaborne trade from 1999 through 2019</t>
  </si>
  <si>
    <t>Compound Annual Growth Rate: Estimated value at 2019 (taken from reference), divided by estimated value at 1999 (taken from reference), multiplied by 1/20 (the rate at which growth would occur each year from the total timeframe), subtracted by 1.</t>
  </si>
  <si>
    <t>United Nations, Trade and Development Data Hub. Accessed January 21 2025. "Handbook of Statistics to Data Insights</t>
  </si>
  <si>
    <t>Marine Aquaculture (millions of tons in live weight)</t>
  </si>
  <si>
    <t>Growth rate of marine aquaculture from 1990 through 2020</t>
  </si>
  <si>
    <t>Compound Annual Growth Rate: Estimated value at 2020 (taken from reference), divided by estimated value at 1990 (taken from reference), multiplied by 1/30 (the rate at which growth would occur each year from the total timeframe), subtracted by 1.</t>
  </si>
  <si>
    <t>DNV, Food and beverage. Accessed January 21 20205. "Oceans' future to 2050: Marine Aquaculture Forecast."</t>
  </si>
  <si>
    <t>Grid Emissions Intensity Tab</t>
  </si>
  <si>
    <t>In this tab, we calculate the marginal emissions intensity for specific regions of the world where we believe marine renewable energy installations are likely to occur. In the absence of more granular data, we used data for broad regions such as Asia, Africa as approximations</t>
  </si>
  <si>
    <t>Average Emissions Intensity</t>
  </si>
  <si>
    <t>Average emissions intensity of the electrical grid in various regions of the world</t>
  </si>
  <si>
    <t>Value taken from reference</t>
  </si>
  <si>
    <t>Ener Outlook EnerBlue Scenario which anticipates a global temperature rise between 2C and 2.5 C. Accessed January 21, 2025</t>
  </si>
  <si>
    <t>Total Energy Consumption (TWH)</t>
  </si>
  <si>
    <t>Total Energy Generation in Region (in TWH)</t>
  </si>
  <si>
    <t>Global 2050 Projections for Total Electricity Generation | Enerdata</t>
  </si>
  <si>
    <t>Marginal Emissions Rate for Electricity- North America</t>
  </si>
  <si>
    <t>The long-run marginal emission rate (LRMER) is an estimate of the rate of emissions that would be either induced or avoided by a long-term change in electrical demand</t>
  </si>
  <si>
    <t>Value taken from reference for contiguous United States</t>
  </si>
  <si>
    <t>Long-Run Marginal Emission Rates for Electricity - Workbooks for 2021 Cambium Data | NREL Data Catalog</t>
  </si>
  <si>
    <t>Marginal Emissions Rate for Electricity- Other Regions</t>
  </si>
  <si>
    <t>(Average Emissions Intensity)Region*(Marginal Emissions Rate)NA/(C22Average Emissions Intensity)NA</t>
  </si>
  <si>
    <t>OTEC Counterfactual</t>
  </si>
  <si>
    <t>Weighted marginal emissions intensity including regions where we expect OTEC technologies to be adopted based on high potential (Asia Pacific and Latin America)</t>
  </si>
  <si>
    <t>(Marginal Emissions Rate*Total Electricity Generated)Asia Pacific + (Marginal Emissions Rate*Total Electricity Generated)Latin America /((Total Energy Generated)Asia Pacific+ (Total Energy Generated)Latin America)</t>
  </si>
  <si>
    <t>Tidal Counterfactual</t>
  </si>
  <si>
    <t>Weighted marginal emissions intensity including regions where we expect Tidal technologies to be adopted based on high potential (Asia Pacific, Europe and North America)</t>
  </si>
  <si>
    <t>(Marginal Emissions Rate*Total Electricity Generated)Asia Pacific + (Marginal Emissions Rate*Total Electricity Generated)Europe+(Marginal Emissions Rate*Total Electricity Generated)North America /((Total Energy Generated)Asia Pacific+ (Total Energy Generated)Europe)+(Total Energy Generated)North America))</t>
  </si>
  <si>
    <t>Wave Counterfactual</t>
  </si>
  <si>
    <t>Weighted marginal emissions intensity including regions where we expect Wave technologies to be adopted based on high potential (Asia Pacific, Europe, Africa and North America)</t>
  </si>
  <si>
    <t>((Marginal Emissions Rate*Total Electricity Generated)Asia Pacific + (Marginal Emissions Rate*Total Electricity Generated)Europe+(Marginal Emissions Rate*Total Electricity Generated)North America) +(Marginal Emissions Rate*Total Electricity Generated)Africa)/((Total Energy Generated)Asia Pacific+ (Total Energy Generated)Europe)+(Total Energy Generated)North America)+ (Total Energy Generated)Africa))</t>
  </si>
  <si>
    <t>FSP (Floating Solar Power) Counterfactual</t>
  </si>
  <si>
    <t>Weighted marginal emissions intensity including regions where we expect FSP (Floating Solar Power) technologies to be adopted based on high potential (Asia Pacific and Africa)</t>
  </si>
  <si>
    <t>(Marginal Emissions Rate*Total Electricity Generated)Asia Pacific + (Marginal Emissions Rate*Total Electricity Generated)Africa /((Total Energy Generated)Asia Pacific+ (Total Energy Generated)Africa)</t>
  </si>
  <si>
    <t>Marine Renewable Energy (MRE): See CO2_Potential_MRE Tab</t>
  </si>
  <si>
    <t>Floating Solar Panels (FSP)</t>
  </si>
  <si>
    <t>Capacity Factor (%)</t>
  </si>
  <si>
    <t>Ratio of actual energy output over a given period of time to the theoretical maximum energy output over the same period time. Capacity factor for a specific technology source is typically computed over a large period of time such as a year. Maximum capacity factor is 100% but actual capacity factor depends on many factors such as reliability issues, maintenance, variability of the energy source and market and governance factors</t>
  </si>
  <si>
    <t>Joshi, Rosenlieb, and Gadzanku, 2023. "Enabling Floating Solar Photovoltaic (FPV) Deployment." National Renewable Energy Laboratory.</t>
  </si>
  <si>
    <t>Average Emissions Intensity of Technology (g CO2/kWH)</t>
  </si>
  <si>
    <t xml:space="preserve">Metric estimating the CO2-equivalent greenhouse gas emissions produced by a specific energy source over its lifetime (including manufacture and decomissioning) per unit of energy produced) </t>
  </si>
  <si>
    <t>Keter and Binani, 2024. "Carbon Footprint Analysis of Floating PV systems". International Energy Agency Photovoltaic Power Systems Programme</t>
  </si>
  <si>
    <t>Growth Rate (%)</t>
  </si>
  <si>
    <t>Year over Year Growth Rate in Installed Capacity between 2030 and 2050</t>
  </si>
  <si>
    <t>Median Growth Rate of Key Ocean Tech</t>
  </si>
  <si>
    <t>Assumption</t>
  </si>
  <si>
    <t>Capacity in 2030 (GW)</t>
  </si>
  <si>
    <t>Maxmimum theoretical installed electricity that can be generated by a source at a specific time period (2030)</t>
  </si>
  <si>
    <t>Capacity in 2050 (GW)</t>
  </si>
  <si>
    <t>Maxmimum theoretical installed electricity that can be generated by a source at a specific time period (2050)</t>
  </si>
  <si>
    <t>Energy generated (TWH)</t>
  </si>
  <si>
    <t>The amount of energy generated in TWh</t>
  </si>
  <si>
    <t>Total installed capacity * 24 * 365 * Capacity Factor/10^9</t>
  </si>
  <si>
    <t>Installed capacity (GW)</t>
  </si>
  <si>
    <t>The maximum amount of electricity that a power plant can produce under the specific conditions designated by its developer ("ideal conditions")</t>
  </si>
  <si>
    <t>Current year * (1 + growth rate)</t>
  </si>
  <si>
    <t>Additional Mitigated Emissions over baseline scenario (GTCO2e)</t>
  </si>
  <si>
    <t>For a given year, the emissions reduction is the emissions reduction from the previous year plus amount of additional energy generated by FSP that year(kWh) multiplied by the difference between the average emissions intensity of the FSP technology and the counterfactural marginal emissions (gCO2/kWh) intensity of the grid. This assumes that the new technology replaces the dirtiest equivalent energy source on the grid and that the reduction in emissions is equally divided over the lifetime of the new system. The final step in the calculation is the conversion to gigatons CO2e. If the difference between the average emissions intensity of the new technology and the counterfactual marginal emissions intensity of the grid is at or less than 0, then no additional emissions have been mitigated and therefore will not be added to our estimate of emissions for that year.</t>
  </si>
  <si>
    <t>Cumulative Emissions Reductions from previous years+(Additional Energy generated that year FSP * (Counterfactual Marginal EmissionsGrid - Average Emissions IntensityFSP) / 10^6)</t>
  </si>
  <si>
    <t>2030-2050 Total Mitigated Emissions (GTCO2e)</t>
  </si>
  <si>
    <t>The total amount of emissions that the activity would be mitigating between 2030-2050</t>
  </si>
  <si>
    <t>Sum[Additional Mitigated Emissions over baseline scenario (GT CO2e)]2030-2050</t>
  </si>
  <si>
    <t>2030-2039 Total Mitigated Emissions (GTCO2e)</t>
  </si>
  <si>
    <t>The total amount of emissions that the activity would be mitigating between 2030-2039</t>
  </si>
  <si>
    <t>Sum[Additional Mitigated Emissions over baseline scenario (GT CO2e)]2030-2039</t>
  </si>
  <si>
    <t>Ocean Thermal Energy Conversion (OTEC)</t>
  </si>
  <si>
    <t>https://www.makai.com/faq/</t>
  </si>
  <si>
    <t>https://doi.org/10.24752/gre.2.0_43</t>
  </si>
  <si>
    <t>Capacity in 2050*(1-Growth Rate)^21</t>
  </si>
  <si>
    <t>See OTEC_Potential_Secondary tab for calculation</t>
  </si>
  <si>
    <t>Calculation of technoeconomic potential in 2050</t>
  </si>
  <si>
    <t>For a given year, the emissions reduction is the emissions reduction from the previous year plus amount of additional energy generated by OTEC that year(kWh) multiplied by the difference between the average emissions intensity of the OTEC installation and the counterfactural marginal emissions (gCO2/kWh) intensity of the grid. This assumes that the new technology replaces the dirtiest equivalent energy source on the grid and that the reduction in emissions is equally divided over the lifetime of the new system. The final step in the calculation is the conversion to gigatons CO2e. If the difference between the average emissions intensity of the new technology and the counterfactual marginal emissions intensity of the grid is at or less than 0, then no additional emissions have been mitigated and therefore will not be added to our estimate of emissions for that year.</t>
  </si>
  <si>
    <t>Cumulative Emissions Reductions from previous years+(Additional Energy generated that year OTEC * (Counterfactual Marginal EmissionsGrid - Average Emissions IntensityOTEC) / 10^6)</t>
  </si>
  <si>
    <t>Salinity Gradient (SG)</t>
  </si>
  <si>
    <t>Salinity gradient can be used as baseload power</t>
  </si>
  <si>
    <t>Additional Mitigated Emissions over baseline scenario (GTCO2e)]</t>
  </si>
  <si>
    <t>For a given year, the emissions reduction is the emissions reduction from the previous year plus amount of additional energy generated by Salinity Gradient that year(kWh) multiplied by the difference between the average emissions intensity of the Salinity Gradient technology and the counterfactural marginal emissions (gCO2/kWh) intensity of the grid. This assumes that the new technology replaces the dirtiest equivalent energy source on the grid and that the reduction in emissions is equally divided over the lifetime of the new system. The final step in the calculation is the conversion to gigatons CO2e. If the difference between the average emissions intensity of the new technology and the counterfactual marginal emissions intensity of the grid is at or less than 0, then no additional emissions have been mitigated and therefore will not be added to our estimate of emissions for that year.</t>
  </si>
  <si>
    <t>Cumulative Emissions Reductions from previous years+(Additional Energy generated that year SG * (Counterfactual Marginal EmissionsGrid - Average Emissions IntensitySG) / 10^6)</t>
  </si>
  <si>
    <t>Tidal Stream (TS)</t>
  </si>
  <si>
    <t>https://www.mdpi.com/1996-1073/16/5/2144</t>
  </si>
  <si>
    <t>Metric estimating the CO2-equivalent greenhouse gas emissions produced by a specific activity</t>
  </si>
  <si>
    <t>https://www.sciencedirect.com/science/article/pii/S0306261921012149</t>
  </si>
  <si>
    <t>(Capacity in 2050/Capacity in 2030)^1/20-1</t>
  </si>
  <si>
    <t>At a specific time period, the capacity of output a power plant can produce</t>
  </si>
  <si>
    <t>OES | Ocean Energy and Net Zero: An International Roadmap to Develop 300GW of Ocean Energy by 2050</t>
  </si>
  <si>
    <t>Additional Mitigated Emissions over baseline scenario (GTCO2e)-using marginal emissions intensity for grid intensity (GTCO2e)</t>
  </si>
  <si>
    <t>For a given year, the emissions reduction is the emissions reduction from the previous year plus amount of additional energy generated by Tidal Stream that year(kWh) multiplied by the difference between the average emissions intensity of the Tidal Stream installation and the counterfactural marginal emissions (gCO2/kWh) intensity of the grid. This assumes that the new technology replaces the dirtiest equivalent energy source on the grid and that the reduction in emissions is equally divided over the lifetime of the new system. The final step in the calculation is the conversion to gigatons CO2e. If the difference between the average emissions intensity of the new technology and the counterfactual marginal emissions intensity of the grid is at or less than 0, then no additional emissions have been mitigated and therefore will not be added to our estimate of emissions for that year.</t>
  </si>
  <si>
    <t>Cumulative Emissions Reductions from previous years+(Additional Energy generated that year TS * (Counterfactual Marginal EmissionsGrid - Average Emissions IntensityTS) / 10^6)</t>
  </si>
  <si>
    <t>Tidal Range (TR)</t>
  </si>
  <si>
    <t>Capacity in 2025*(1+Growth Rate)^5</t>
  </si>
  <si>
    <t>Capacity in 2025*(1+Growth Rate)^25</t>
  </si>
  <si>
    <t>For a given year, the emissions reduction is the emissions reduction from the previous year plus amount of additional energy generated by Tidal Range that year(kWh) multiplied by the difference between the average emissions intensity of the Tidal Range technology and the counterfactural marginal emissions (gCO2/kWh) intensity of the grid. This assumes that the new technology replaces the dirtiest equivalent energy source on the grid and that the reduction in emissions is equally divided over the lifetime of the new system. The final step in the calculation is the conversion to gigatons CO2e. If the difference between the average emissions intensity of the new technology and the counterfactual marginal emissions intensity of the grid is at or less than 0, then no additional emissions have been mitigated and therefore will not be added to our estimate of emissions for that year.</t>
  </si>
  <si>
    <t>Cumulative Emissions Reductions from previous years+(Additional Energy generated that year OW * (Counterfactual Marginal EmissionsGrid - Average Emissions IntensityOW) / 10^6)</t>
  </si>
  <si>
    <t>Wave Energy (WE)</t>
  </si>
  <si>
    <t>https://research.tudelft.nl/en/publications/shifting-wave-energy-perceptions-the-case-for-wave-energy-convert</t>
  </si>
  <si>
    <t>For a given year, the emissions reduction is the emissions reduction from the previous year plus amount of additional energy generated by Wave Energy that year(kWh) multiplied by the difference between the average emissions intensity of the Wave Energy installation and the counterfactural marginal emissions (gCO2/kWh) intensity of the grid. This assumes that the new technology replaces the dirtiest equivalent energy source on the grid and that the reduction in emissions is equally divided over the lifetime of the new system. The final step in the calculation is the conversion to gigatons CO2e. If the difference between the average emissions intensity of the new technology and the counterfactual marginal emissions intensity of the grid is at or less than 0, then no additional emissions have been mitigated and therefore will not be added to our estimate of emissions for that year.</t>
  </si>
  <si>
    <t>Cumulative Emissions Reductions from previous years+(Additional Energy generated that year WE * (Counterfactual Marginal EmissionsGrid - Average Emissions IntensityWE) / 10^6)</t>
  </si>
  <si>
    <t>Offshore Wind (OW)</t>
  </si>
  <si>
    <t>https://nationaloffshorewind.org/wp-content/uploads/147502_Final-Report.pdf</t>
  </si>
  <si>
    <t>https://orsted.com/en/insights/the-fact-file/what-is-the-carbon-footprint-of-offshore-wind</t>
  </si>
  <si>
    <t>https://www.un.org/sites/un2.un.org/files/2021/09/irena_and_gwec_offshore_wind_energy_compact_-_final_1.pdf</t>
  </si>
  <si>
    <t>https://www.mckinsey.com/industries/electric-power-and-natural-gas/our-insights/how-to-succeed-in-the-expanding-global-offshore-wind-market</t>
  </si>
  <si>
    <t>For a given year, the emissions reduction is the emissions reduction from the previous year plus amount of additional energy generated by Offshore Wind that year(kWh) multiplied by the difference between the average emissions intensity of the Offshore Wind technology and the counterfactural marginal emissions (gCO2/kWh) intensity of the grid. This assumes that the new technology replaces the dirtiest equivalent energy source on the grid and that the reduction in emissions is equally divided over the lifetime of the new system. The final step in the calculation is the conversion to gigatons CO2e. If the difference between the average emissions intensity of the new technology and the counterfactual marginal emissions intensity of the grid is at or less than 0, then no additional emissions have been mitigated and therefore will not be added to our estimate of emissions for that year.</t>
  </si>
  <si>
    <t>Cumulative Emissions Reductions from previous years+(Additional Energy generated that year TR * (Counterfactual Marginal EmissionsGrid - Average Emissions IntensityTR) / 10^6)</t>
  </si>
  <si>
    <t>Sustainable Food (SF)- See CO2_Potential_SF Tab</t>
  </si>
  <si>
    <t>Sustainable Fisheries</t>
  </si>
  <si>
    <t>Compound Annual Growth Rate: Estimated value at 2050 (taken from reference), divided by estimated value at 2030 (taken from reference), multiplied by 1/20 (the rate at which growth would occur each year from the total timeframe), subtracted by 1</t>
  </si>
  <si>
    <t>(2050 mitigation potential / 2030 mitigation potential )^ (1/20) -1</t>
  </si>
  <si>
    <t>Mitigation Potential (2030) (GTCO2e/year)</t>
  </si>
  <si>
    <t>Mid point of range of 2030 mitigation potential values, including mitigation options to rebuild wild fish stocks via reducing fuel use intensity to harvest fish and shellfish that results from rebuilding depleted stocks and avoiding emissions if the increased harvest achieve via rebuilding stocks is consumed in place of higher emissions land-based animal products</t>
  </si>
  <si>
    <t>Mid([LowerRange_rebuildingfishstocks, [UpperRange_rebuildingfishstocks) + Mid([LowerRange_avoidingemissions]+[UpperRange_avoidingemissions])</t>
  </si>
  <si>
    <t>Ocean Panel Climate Solutions, Table 13</t>
  </si>
  <si>
    <t>Mitigation Potential (2050) (GTCO2e/year)</t>
  </si>
  <si>
    <t>Mid point of range of 2050 mitigation potential values, including mitigation options to rebuild wild fish stocks via reducing fuel use intensity to harvest fish and shellfish that results from rebuilding depleted stocks and avoiding emissions if the increased harvest achieve via rebuilding stocks is consumed in place of higher emissions land-based animal products</t>
  </si>
  <si>
    <t>Total Mitigated Emissions (GTCO2e)-2030-2050</t>
  </si>
  <si>
    <t>Sum[Mitigated Emissions over baseline scenario (GTCO2e)]2030-2050</t>
  </si>
  <si>
    <t>Total Mitigated Emissions (GTCO2e)-2030-2039</t>
  </si>
  <si>
    <t>Sum[Mitigated Emissions over baseline scenario (GTCO2e)]2030-2039</t>
  </si>
  <si>
    <t>Sustainable Aquaculture</t>
  </si>
  <si>
    <t>Mid point of range of 2030 mitigation potential values, including mitigation options to reduce emissions from aquaculture via improved feed conversion ratios (10 percent reduction in economic feed conversion ratios across all fed species) and shifting all energy inputs to farms that are derived from electricity generated from renewable sources, rather than fossil fuels onsite or in electricity grids</t>
  </si>
  <si>
    <t>Mid([LowerRange_improvedfeedconversion, [UpperRange_improvedfeedconversion) + Mid([LowerRange_shiftenergyinputs]+[UpperRange__shiftenergyinputs])</t>
  </si>
  <si>
    <t>Mid point of range of 2050 mitigation potential values, including mitigation options to reduce emissions from aquaculture via improved feed conversion ratios (10 percent reduction in economic feed conversion ratios across all fed species) and shifting all energy inputs to farms that are derived from electricity generated from renewable sources, rather than fossil fuels onsite or in electricity grids</t>
  </si>
  <si>
    <t>Sustainable Aquaculture Feed</t>
  </si>
  <si>
    <t>Midpoint of range of 2030 mitigation potential values, including mitigation options to reduced emissions from aquaculture via complete avoidance of deforestation in the supply chains of feed ingredients from soy, palm, and other crops as well as in the feeds of poultry and livestock systems providing by-products</t>
  </si>
  <si>
    <t>Mid([LowerRange_avoid_deforestation, [UpperRange_avoid_deforestation) + Mid([LowerRange_byproducts]+[UpperRange__byproducts])</t>
  </si>
  <si>
    <t>Midpoint of  range of 2050 mitigation potential values, including mitigation options to reduced emissions from aquaculture via complete avoidance of deforestation in the supply chains of feed ingredients from soy, palm, and other crops as well as in the feeds of poultry and livestock systems providing by-products</t>
  </si>
  <si>
    <t>Sustainable Aquaculture Feed (summed sustainable aquaculture and sustainable aquaculture feed</t>
  </si>
  <si>
    <t>The total amount of emissions that the activity would be mitigating between 2030-2039, summed for sustainable aquaculture and sustainable aquaculture feed.</t>
  </si>
  <si>
    <t>Sum[Mitigated Emissions over baseline scenario (GTCO2e)]2030-2039_sustainableaquaculture + Sum[Mitigated Emissions over baseline scenario (GTCO2e)]2030-2039_sustainableaquaculturefeed</t>
  </si>
  <si>
    <t>Sum[Mitigated Emissions over baseline scenario (GTCO2e)]2030-2050_sustainableaquaculture + Sum[Mitigated Emissions over baseline scenario (GTCO2e)]2030-2050_sustainableaquaculturefeed</t>
  </si>
  <si>
    <t>Ocean-based Protein (behavioral shift in diets)</t>
  </si>
  <si>
    <t>Mid point of range of 2030 mitigation potential values, including mitigation options to avoid potential emissions by behavioural shifts away from high emissions land-based proteins and towards lower emissions seafood systems</t>
  </si>
  <si>
    <t>Mid(LowerRange_behaviourshift, UpperRange_behaviourshift)</t>
  </si>
  <si>
    <t>Mid point of range of 2050 mitigation potential values, including mitigation options to avoid potential emissions by behavioural shifts away from high emissions land-based proteins and towards lower emissions seafood systems</t>
  </si>
  <si>
    <t>Maritime Transportation (MT)- See_CO2_Potential_MT Tab</t>
  </si>
  <si>
    <t>All sub-pathways (see tab Shipping CO2e IRENA Scenario)</t>
  </si>
  <si>
    <t>Base Energy (GTCO2e/year) (2030)</t>
  </si>
  <si>
    <t>The CO2 emissions associated with the Base Energy Scenario during 2030</t>
  </si>
  <si>
    <t>Visual estimation (see data in tab Shipping CO2e IRENA Scenario)</t>
  </si>
  <si>
    <t>A pathway to decarbonise the shipping sector by 2050, Figure v</t>
  </si>
  <si>
    <t>Base Energy (GTCO2e/year) (2031-2050)</t>
  </si>
  <si>
    <t>For a given year between 2031-2050, the CO2 emissions associated with the Base Energy Scenario</t>
  </si>
  <si>
    <t>BaseEnergy_previousyear + BaseEnergy_Growth Rate</t>
  </si>
  <si>
    <t>1.5 C (GTCO2e/yr) (2030)</t>
  </si>
  <si>
    <t>For a given year between 2030-2050, the CO2 emissions associated with the 1.5C Scenario during 2030</t>
  </si>
  <si>
    <t>1.5C (GTCO2e/year) (2031-2050)</t>
  </si>
  <si>
    <t>1.5C_previousyear + 1.5C_Growth Rate</t>
  </si>
  <si>
    <t>Delta (GTCO2e/yr)</t>
  </si>
  <si>
    <t>For a given year between 2030-2050, the CO2 emissions associated with the 1.5C Scenario subtracted by the CO2 emissions associated with the Base Energy Scenario</t>
  </si>
  <si>
    <t>Value_1.5C - ValueBaseEnergy</t>
  </si>
  <si>
    <t>Percentage of Total Impact (%)</t>
  </si>
  <si>
    <t>The estimated role of key CO2 emission reduction measures associated with the IRENA 1.5C Scenario</t>
  </si>
  <si>
    <t>A pathway to decarbonise the shipping sector by 2050, Figure vi</t>
  </si>
  <si>
    <t>Alternative Shipping Fuels</t>
  </si>
  <si>
    <t>Mitigation Potential (GTCO2e) 2030-2050</t>
  </si>
  <si>
    <t>For a given year between 2030-2050, the total amount of CO2 emissions mitigated from going from the Base Energy Scenario to the 1.5C Scenario (Delta), multiplied by the percentage of total impact to estimate the total CO2e emissions mitigated by a particular subpathway</t>
  </si>
  <si>
    <t>Year*_Delta * PercentageofTotalImpact_alternativeshippingfuels</t>
  </si>
  <si>
    <t>Mitigation Potential (2030-39) (GTCO2e)</t>
  </si>
  <si>
    <t>For a given year between 2030-2050, the total amount of CO2 emissions mitigated from going from the Base Energy Scenario to the 15C Scenario (Delta), multiplied by the percentage of total impact to estimate the total CO2e emissions mitigated by a particular subpathway</t>
  </si>
  <si>
    <t>Improved Operations</t>
  </si>
  <si>
    <t>Year*_Delta * PercentageofTotalImpact_improvedoperations</t>
  </si>
  <si>
    <t>Improved Ship Design</t>
  </si>
  <si>
    <t>Year*_Delta * PercentageofTotalImpact_hullmanagement</t>
  </si>
  <si>
    <t>Alternative Power and Propulsion Systems in Ships</t>
  </si>
  <si>
    <t>Year*_Delta * PercentageofTotalImpact_improvedpropulsionsystems</t>
  </si>
  <si>
    <t>Ecosystem Protection- See CO2_Potential_EP Tab</t>
  </si>
  <si>
    <t>All sub-pathways *except MPAs - seafloor protection</t>
  </si>
  <si>
    <t>Mangrove Protection</t>
  </si>
  <si>
    <t>Mid point of range of 2030 mitigation potential values, including mitigation options to increase protection of mangrove coastal ecosystems (but not restoration)</t>
  </si>
  <si>
    <t>Midpoint(LowerRange_mangrove, UpperRange_mangrove)</t>
  </si>
  <si>
    <t>Ocean Panel Climate Solutions, Table 3</t>
  </si>
  <si>
    <t>Mid point of range of 2050 mitigation potential values, including mitigation options to increase protection of mangrove coastal ecosystems (but not restoration)</t>
  </si>
  <si>
    <t>Tidal Marshes Protection</t>
  </si>
  <si>
    <t>Mid point of range of 2030 mitigation potential values, including mitigation options to increase protection of tidal marshes coastal ecosystems (but not restoration)</t>
  </si>
  <si>
    <t>Midpoint(LowerRange_tidalmarshes, UpperRange_tidalmarshes)</t>
  </si>
  <si>
    <t>Mid point of range of 2050 mitigation potential values, including mitigation options to increase protection of tidal marshes coastal ecosystems (but not restoration)</t>
  </si>
  <si>
    <t>Seagrass Protection</t>
  </si>
  <si>
    <t>Midpoint of range of2030 mitigation potential values, including mitigation options to increase protection of seagrass coastal ecosystems</t>
  </si>
  <si>
    <t>Midpoint(LowerRange_seagrass, UpperRange_seagrass)</t>
  </si>
  <si>
    <t>Midpoint of range of2050 mitigation potential values, including mitigation options to increase protection of seagrass coastal ecosystems</t>
  </si>
  <si>
    <t>Seaweed Protection</t>
  </si>
  <si>
    <t>Midpoint of range of2030 mitigation potential values, including mitigation options to increase protection of seaweed coastal ecosystems</t>
  </si>
  <si>
    <t>Midpoint(LowerRange_seaweed, UpperRange_seaweed)</t>
  </si>
  <si>
    <t>Midpoint of range of2050 mitigation potential values, including mitigation options to increase protection of seaweed coastal ecosystems</t>
  </si>
  <si>
    <t>Marine Protected Areas (MPAs)- Seafloor Protection</t>
  </si>
  <si>
    <t>Project Drawdown Estimated mitigated potential for 2018-2060 (GTCO2e)</t>
  </si>
  <si>
    <t>The total estimated mitigation potential for activities to protect the sea floor in Marine Protected Areas between 2018-2060</t>
  </si>
  <si>
    <t>Climate benefits from establishing marine protected areas targeted at blue carbon solutions | PNAS</t>
  </si>
  <si>
    <t>Average taken from range of 2018-2060 mitigation potential values including mitigation options to protect Marine Protected Areas' seafloor. The 2030 value was calculated by multiplying the average by the period of time before the 2030-2050 window (9/43)</t>
  </si>
  <si>
    <t>Average(LowerRange_seafloor, UpperRange_seafloor) * 9/43</t>
  </si>
  <si>
    <t>Average taken from range of 2018-2060 mitigation potential values including mitigation options to protect Marine Protected Areas' seafloor. The 2030 value was calculated by multiplying the average by the 2030-2050 time window (21/43)</t>
  </si>
  <si>
    <t>Average(LowerRange_seafloor, UpperRange_seafloor) * 21/43</t>
  </si>
  <si>
    <t>Macroalgae- See CO2_Potential_MA Tab</t>
  </si>
  <si>
    <t>Plastics</t>
  </si>
  <si>
    <t>Seaweed Based Bioplastic Market Size in 2030 (USD)</t>
  </si>
  <si>
    <t>Projected value of the seaweed based bioplastic market in USD in 2030</t>
  </si>
  <si>
    <t>Global Seaweed New and Emerging Markets Report 2023</t>
  </si>
  <si>
    <t>Bioplastic cost (USD/tonne)</t>
  </si>
  <si>
    <t>Cost per tonne of bioplastics</t>
  </si>
  <si>
    <t>Bioplastic production from seaweed (tons)</t>
  </si>
  <si>
    <t>Size of the seaweed based bioplastics market in metric tons</t>
  </si>
  <si>
    <t>Seaweed-based bioplastic market size in 2030 / bioplastic cost per tonne</t>
  </si>
  <si>
    <t>Growth Rate (2030-50) - assume same growth rate as from 2020 to 2030 (%)</t>
  </si>
  <si>
    <t>The assumed exponential growth rate of the macroalgae market</t>
  </si>
  <si>
    <t>Mitigation potential from using bioplastics to replace conventional plastics (metric tonne of CO2 per metric tonne plastic replaced)</t>
  </si>
  <si>
    <t>The amount of mitigated CO2e emissions (in metric tons) from replacing 1 metric tonne of conventional plastics with bioplastics</t>
  </si>
  <si>
    <t>Mitigation Potential (metric tonne CO2e)</t>
  </si>
  <si>
    <t>The amount of mitigated CO2e emissions (in metric tons) from replacing conventional plastics with bioplastics multiplied by the bioplastic production from seaweed (in tons)</t>
  </si>
  <si>
    <t>Bioplastic production from seaweed * mitigation from using bioplastics to replace convential plastics</t>
  </si>
  <si>
    <t>Mitigation Potential (GTCO2e)</t>
  </si>
  <si>
    <t>The amount of mitigated CO2e emissions from replacing conventional plastics with bioplastics multiplied by the bioplastic production from seaweed, converted to gigatons</t>
  </si>
  <si>
    <t>Mitigation Potential (metric tonne CO2e) * (1/10^9)</t>
  </si>
  <si>
    <t>Biostimulants</t>
  </si>
  <si>
    <t>Growth rate for seaweed used in biostimulants (up to a max of about 3 M tons)</t>
  </si>
  <si>
    <t>The projected annual growth rate for the seaweed biostimulant market</t>
  </si>
  <si>
    <t>https://www.nature.org/en-us/newsroom/new-markets-could-catalyze-seaweed-regenerative-potential-on-land-and-sear/</t>
  </si>
  <si>
    <t xml:space="preserve">CO2e mitigated in megatons  per 1megatonne of  seaweed grown for biostimulants </t>
  </si>
  <si>
    <t>The amount of CO2e (in megatons) per one million tons of seaweed grown for biostimulants</t>
  </si>
  <si>
    <t>New Markets Could Catalyze Seaweed’s Regenerative Potential</t>
  </si>
  <si>
    <t xml:space="preserve">Base Year </t>
  </si>
  <si>
    <t>The starting value for calculations to estimate the seaweed biostimulant market</t>
  </si>
  <si>
    <t xml:space="preserve">Percentage of seaweed that is used for biostimulants in base year </t>
  </si>
  <si>
    <t>Of the seaweed market in 2022, the percentage of seaweed that was use for biostimulants</t>
  </si>
  <si>
    <t xml:space="preserve">Maximum expected seaweed tonnage worldwide for biostimulants </t>
  </si>
  <si>
    <t>Worldwide, the maximum expected seaweed tonnage for biostimulants in the base year</t>
  </si>
  <si>
    <t>Amount of seaweed grown for biostimulants in base year (tons)</t>
  </si>
  <si>
    <t>The amount of seaweed used for biostimulants multiplied by the base year with the growth rate addition The value is raised to the power of 8 to represent the period from the base year (2022) to 2030</t>
  </si>
  <si>
    <t>Amount of seaweed used for biostimulants in base year * (1+ Growth Rate)^8</t>
  </si>
  <si>
    <t xml:space="preserve">The amount of seaweed used for biostimulants from the previous year, multiplied by the growth rate. If the value is greater than 3 (the maximum capacity for macroalgae production for biostimulants in M tons), then the value is set at 3 </t>
  </si>
  <si>
    <t>Amount of seaweed used for biostimulants in base year * (1+ Growth Rate)^9</t>
  </si>
  <si>
    <t>The amount of seaweed grown for biostimulants in the current year, multiplied by the percentage of CO2e that would be mitigated in megatons, per one megatonne of seaweed grown for biostimulants</t>
  </si>
  <si>
    <t>Amount of seaweed grown for biostimulants_Currentyear * 0.25/1000</t>
  </si>
  <si>
    <t>Fuel, human food, and animal feed</t>
  </si>
  <si>
    <t>Area of seaweed in km2 needed to avoid 1 GTCO2e  (limited nutrient, optimistic cost assumptions scenario) by 2050</t>
  </si>
  <si>
    <t>The area of seaweed needed to avoid 1 gigatonne of CO2e by 2050, using a limited nutrient, optimistic cost assumptions scenario</t>
  </si>
  <si>
    <t>Economic and biophysical limits to seaweed farming for climate change mitigation | Nature Plants</t>
  </si>
  <si>
    <t>Area currently used to farm seaweed as of 2020 (km2)</t>
  </si>
  <si>
    <t>As of 2020, the current area used to farm seaweed</t>
  </si>
  <si>
    <t>Growth Rate (2030-50) - assume same growth rate as from 2020 to 2030</t>
  </si>
  <si>
    <t>The median taken of all Compound Annual Growth Rates on the offshore wind scale-up, offshore wind 10-year projection, deepwater oil and gas, seaborne trade, and marine aquaculture</t>
  </si>
  <si>
    <t>Projected area used to farm seaweed (km2) in 2030</t>
  </si>
  <si>
    <t>The projected area used to farm seaweed (in square kilometres), multiplied by the additional growth rate, raised to the power of 10 to model an exponential growth rate from 2020-2030</t>
  </si>
  <si>
    <t>AreaUsedToFarmSeaweed_2020 * (1+ Growth Rate) ^10</t>
  </si>
  <si>
    <t>For a particular year between 2030-2050, the estimated avoided emissions made by dividing the projected area used to farm seaweed by the needed area of seaweed needed to avoid one gigatonne of CO2e by 2050. This value assumes a linear relationship with area per reference</t>
  </si>
  <si>
    <t>AreaUsedToFarmSeaweed_CurrentYear / AreaUsedtofarmSeaweedfor1Gt_2050</t>
  </si>
  <si>
    <t>Calculation based on: Economic and biophysical limits to seaweed farming for climate change mitigation | Nature Plants</t>
  </si>
  <si>
    <t>Microalgae- See CO2_Potential_MI Tab</t>
  </si>
  <si>
    <t>Biofuels</t>
  </si>
  <si>
    <t xml:space="preserve">Microalge biomass availability by 2050 in ash free dry weight (MT/year) </t>
  </si>
  <si>
    <t>The amount in metric tons of ash-free dry weight (AFDW) of microalgae biomass available per year for biofuels</t>
  </si>
  <si>
    <t>Biofuel Production and Greenhouse Gas Reduction Potential (Technical Report) | OSTI.GOV</t>
  </si>
  <si>
    <t>GHG Reduction (Mt/yr)</t>
  </si>
  <si>
    <t>The metric tonnage of GHG reduction per year from using microalgae biofuels</t>
  </si>
  <si>
    <t>GHG per tonne of biomass (Assuming linear relationship between AFDW and GHG)</t>
  </si>
  <si>
    <t>The metric tonnage of GHG reduction per ton of AFDW per year, assuming a linear relationship between the two values</t>
  </si>
  <si>
    <t>GHGreduction_microalgae per tonne / MicroalgaeBiomassAvailability</t>
  </si>
  <si>
    <t>Growth Rate</t>
  </si>
  <si>
    <t>Microalgae biomass grown (MT/year) 2030 - 2049</t>
  </si>
  <si>
    <t>The amount of microalgae grown per year, in metric tonnage, between 2030 - 2050 Calculated from 2050 as the starting value and moving into estimations of the previous year</t>
  </si>
  <si>
    <t>Microalgaebiomassgrown_CurrentYear+1 * (1 - Growth Rate)</t>
  </si>
  <si>
    <t>Mitigation Potential (MT CO2e)</t>
  </si>
  <si>
    <t>The mitigation potential, in metric tons CO2e, of producing microalgae biomass for biofuels, for a particular year</t>
  </si>
  <si>
    <t>Microalgaebiomassgrown_CurrentYear * GHGpertonnebiomass</t>
  </si>
  <si>
    <t>Worldwide potential</t>
  </si>
  <si>
    <t>Annual worldwide reduction in GTCO2e from transport biofuels in 2050</t>
  </si>
  <si>
    <t>The amount of CO2e, in gigatons, that would be reduced from converting to transport biofuels in 2050</t>
  </si>
  <si>
    <t>Net Zero by 2050 - A Roadmap for the Global Energy Sector</t>
  </si>
  <si>
    <t>Annual US reduction in GTCO2e from  biofuels in 2050</t>
  </si>
  <si>
    <t>The amount of US reduction in CO2e, in gigatons, that would occur from transport biofuels in 2050</t>
  </si>
  <si>
    <t>Fraction of worldwide production of biofuels that will be US based</t>
  </si>
  <si>
    <t>The fraction of worldwide transport biofuel production that would be provided by the US in 2050</t>
  </si>
  <si>
    <t>AnnualUSreductionfrombiofuels_2050 / AnnualWorldwideReductionfrombiofuels_2050</t>
  </si>
  <si>
    <t>Total Mitigation Potential (GTCO2e)- World</t>
  </si>
  <si>
    <t>The worldwide total mitigation potential of using algal biofuels in 2050, assuming that the ratio of US/worldwide algal biofuel production is the same as the US/worldwide biofuel production</t>
  </si>
  <si>
    <t>(Sum[(MitigationPotential_2030-2050)] / 1000) / FractionWorldwideProductionbiofuels_USbased</t>
  </si>
  <si>
    <t>Total Mitigation Potential (GTCO2e)- World: 2030-2039</t>
  </si>
  <si>
    <t>The worldwide total mitigation potential of using algal biofuels between 2030-2039, assuming that the ratio of US/worldwide algal biofuel production is the same as the US/worldwide biofuel production</t>
  </si>
  <si>
    <t>(Sum[(MitigationPotential_2030-2039)] / 1000) / FractionWorldwideProductionbiofuels_USbased</t>
  </si>
  <si>
    <t>Approach/Solution</t>
  </si>
  <si>
    <t>Description</t>
  </si>
  <si>
    <t>High Level Pathway</t>
  </si>
  <si>
    <t>2030-39 Mitigation Potential (Gigatons CO₂e)</t>
  </si>
  <si>
    <t>2030-50 Mitigation Potential (Gigatons CO₂e)</t>
  </si>
  <si>
    <t>Mitigation Potential Range (Millions of tons CO₂ e/yr) based on 2030-2050 Mitigation Potentials</t>
  </si>
  <si>
    <t>Average Market Size ($B)</t>
  </si>
  <si>
    <t>2030 Market Size Range ($B)</t>
  </si>
  <si>
    <t>Average Compound Annual Growth Rate (CAGR)</t>
  </si>
  <si>
    <t>Technology Readiness Level</t>
  </si>
  <si>
    <t>Co-Benefits</t>
  </si>
  <si>
    <t>Economic and Job Growth</t>
  </si>
  <si>
    <t>Improved Biodiversity</t>
  </si>
  <si>
    <t>Pollution Reduction</t>
  </si>
  <si>
    <t>Hazard Reduction</t>
  </si>
  <si>
    <t>Energy Resilience</t>
  </si>
  <si>
    <t>Relieving Land Use Pressures</t>
  </si>
  <si>
    <t>Column2</t>
  </si>
  <si>
    <t>Column22</t>
  </si>
  <si>
    <t>Column1</t>
  </si>
  <si>
    <t>Column3</t>
  </si>
  <si>
    <t>Column32</t>
  </si>
  <si>
    <t>Column33</t>
  </si>
  <si>
    <t>Column4</t>
  </si>
  <si>
    <t>Column6</t>
  </si>
  <si>
    <t>Column5</t>
  </si>
  <si>
    <t>Column7</t>
  </si>
  <si>
    <t>Column8</t>
  </si>
  <si>
    <t>Column9</t>
  </si>
  <si>
    <t>Column10</t>
  </si>
  <si>
    <t>Column11</t>
  </si>
  <si>
    <t>Column12</t>
  </si>
  <si>
    <t>Column13</t>
  </si>
  <si>
    <t>Ocean Based Protein (Behavioral Shift in Diets)</t>
  </si>
  <si>
    <t>Developing ocean-based protein sources (including cultivated meat) to shift diets from terrestrial proteins</t>
  </si>
  <si>
    <t>Sustainable Food Production</t>
  </si>
  <si>
    <t>Offshore Wind</t>
  </si>
  <si>
    <t>Generation of electricity using wind turbines located in marine enrvironments, taking advantage of higher winds</t>
  </si>
  <si>
    <t>Offshore Energy</t>
  </si>
  <si>
    <t>Use of fuels such as advanced biofuels and electrofuels with lower greenhouse gas emissions to displace fossil fuels</t>
  </si>
  <si>
    <t>Maritime Transportation</t>
  </si>
  <si>
    <t>Microalgae for Biofuels</t>
  </si>
  <si>
    <t>Farming macroalgae to  develop low emission biofuels</t>
  </si>
  <si>
    <t>Microalgae Based Products</t>
  </si>
  <si>
    <t>Macroalgae for Fuels, Food and Animal Feeds</t>
  </si>
  <si>
    <t>Farming macroalgae to  develop substitute products for high-carbon fuels, foods and feeds</t>
  </si>
  <si>
    <t>Macroalgae Based Products</t>
  </si>
  <si>
    <t>Improving energy efficiency in shipping through alterations in ship design to reduce drag on ships</t>
  </si>
  <si>
    <t>Unknown</t>
  </si>
  <si>
    <t>Marine Protected Areas</t>
  </si>
  <si>
    <t>Avoided emissions from designated MPAs by protecting sea floor sediments from bottom trawling fishing</t>
  </si>
  <si>
    <t>Ecosystem Protection</t>
  </si>
  <si>
    <t>Ocean Thermal Energy Conversion</t>
  </si>
  <si>
    <t>Renewable energy plants that utilize the temperature differential between the warm surface and cold depths to run a heat engine to produce electricity</t>
  </si>
  <si>
    <t>Marine Renewable Energy</t>
  </si>
  <si>
    <t>Efficiency in Shipping Operations</t>
  </si>
  <si>
    <t>Operational measures in shipping such as route optimization to reduce emissions</t>
  </si>
  <si>
    <t xml:space="preserve">Protecting existing mangrove forests from degradation or removal thereby avoiding emissions </t>
  </si>
  <si>
    <t xml:space="preserve">Protecting existing seaweed ecosystems from degradation or removal thereby avoiding emissions </t>
  </si>
  <si>
    <t>Reducing emissions in the aquaculture industry including using more renewable electricity</t>
  </si>
  <si>
    <t>Reducing emissions in the fishery industry through a number of approaches including rebuilding fish stocks, and decarbonizing fuel used in fishing fleets</t>
  </si>
  <si>
    <t>Floating Solar Power</t>
  </si>
  <si>
    <t>Installing solar panels on a structure that floats in marine environments to generate electricity</t>
  </si>
  <si>
    <t xml:space="preserve">Protecting existing seagrass meadows from degradation or removal thereby avoiding emissions </t>
  </si>
  <si>
    <t>Use of more efficient propulsion systems (including wind, hybrid and electric systems) to reduce emissions</t>
  </si>
  <si>
    <t>Tidal Stream/Current</t>
  </si>
  <si>
    <t>Using the  kinetic energy of moving water to power turbines, similar to how wind turbines are moved by air to do useful work</t>
  </si>
  <si>
    <t>Wave Energy</t>
  </si>
  <si>
    <t>Capture of wind wave energy to do useful work such as electricity generation</t>
  </si>
  <si>
    <t>Tidal Range</t>
  </si>
  <si>
    <t>Making  use of the potential energy in the difference in height between high and low tides to generate electricity and other useful work.</t>
  </si>
  <si>
    <t>Salinity Gradient</t>
  </si>
  <si>
    <t xml:space="preserve">Using the salinity gradient between seawater and riverwater to do useful work </t>
  </si>
  <si>
    <t>Macroalgae based Plastics</t>
  </si>
  <si>
    <t>Farming macroalgae to develop substitute products for plastics made from fossil fuels</t>
  </si>
  <si>
    <t xml:space="preserve">Protecting existing tidal marshes from degradation or removal thereby avoiding emissions </t>
  </si>
  <si>
    <t>Macroalgae based Biostimulants</t>
  </si>
  <si>
    <t>Farming macroalgae at scale to develop agricultural biostimulants to reduce emissions from fertilizer use</t>
  </si>
  <si>
    <t>Low</t>
  </si>
  <si>
    <t>Medium</t>
  </si>
  <si>
    <t>High</t>
  </si>
  <si>
    <t>Criteria</t>
  </si>
  <si>
    <t>Value</t>
  </si>
  <si>
    <t>References</t>
  </si>
  <si>
    <t>2030-39 Mitigation Potential (GT CO2e)</t>
  </si>
  <si>
    <t>2030-50 Mitigation Potential (GT CO2e)</t>
  </si>
  <si>
    <t>Market Size in Base Year ($B)</t>
  </si>
  <si>
    <t>Future Market Insights: Offshore Wind Market Report</t>
  </si>
  <si>
    <t xml:space="preserve"> </t>
  </si>
  <si>
    <t>Ocean Visions Bottoms Up Analysis of Market Size ($B)</t>
  </si>
  <si>
    <t xml:space="preserve">Based on 2023 cumulative installed capacity and 2023 auction price data. However capacity that came on board before 2023 would have commanded increased prices so this number is a low estimate. </t>
  </si>
  <si>
    <t>Base Year</t>
  </si>
  <si>
    <t>2030 Market Size ($B)</t>
  </si>
  <si>
    <t>Ocean Panel Ocean Climate Solutions Update</t>
  </si>
  <si>
    <t>Resilient and often close to population centers; Economic and Job Growth</t>
  </si>
  <si>
    <t>American Geosciences Institute</t>
  </si>
  <si>
    <t>Tidal Power Generation Market Size</t>
  </si>
  <si>
    <t xml:space="preserve">Based on 2023 cumulative installed capacity and 2023 auction price data. Market size from market research firms seems in the same range. </t>
  </si>
  <si>
    <t>Innovation Outlook: Ocean Energy Technologies</t>
  </si>
  <si>
    <t>Resilient requiring shorter transmission; Economic and Job Growth, Can be used in remote areas</t>
  </si>
  <si>
    <t>Department of Energy</t>
  </si>
  <si>
    <t>Resilient requiring shorter transmission, Economic and Job Growth; Can be used in remote areas</t>
  </si>
  <si>
    <t>Global Wave Energy Market Size, Share, Report to 2033</t>
  </si>
  <si>
    <t>Resilient requiring shorter transmission, Economic and Job Growth; Can be used in remote areas; Can power or be synergistic with desalination; mCDR; Offshore industry</t>
  </si>
  <si>
    <t>Precedence Research Floating Solar Market Size, Share, and Trends 2025 to 2034</t>
  </si>
  <si>
    <t>Full-Report_Ocean-Climate-Solutions-Update-1.pdf</t>
  </si>
  <si>
    <t>Marine Energy Market Size &amp; Share, Industry Report 2025-2034</t>
  </si>
  <si>
    <t>Resilient requiring shorter transmission, Economic Growth, Can be used in remote areas, Can power or be synergistic with desalination, mCDR, offshore industry</t>
  </si>
  <si>
    <t>Global Insight Services Ocean Thermal Energy Conversion Plant Market</t>
  </si>
  <si>
    <t>Based on 2023 cumulative installed capacity. Even with a high price for the electricty of $500/MWh, this value is much lower than that available online. We decided to use our value as a conservative estimate</t>
  </si>
  <si>
    <t>FAU Southeast National Marine Renewable Energy Center</t>
  </si>
  <si>
    <t>Resilient requiring shorter transmission; Economic Growth and Job; Can be used in remote areas; Can power or be synergistic with desalination; mCDR; Offshore industry</t>
  </si>
  <si>
    <t xml:space="preserve">Infinium Market Research </t>
  </si>
  <si>
    <t>Ocean Visions Analysis of Market Size ($B)</t>
  </si>
  <si>
    <t>The State of World Fisheries and Aquaculture 2024. Blue... - French, English - FAO - 2024</t>
  </si>
  <si>
    <t>Co-Growths</t>
  </si>
  <si>
    <t>Reduced air pollution; Improved biodiversity; Economic and Job Growth</t>
  </si>
  <si>
    <t xml:space="preserve">Food Forward NDCs </t>
  </si>
  <si>
    <t>Credence Market Research</t>
  </si>
  <si>
    <t>Sustainable Seafood Market Size, Growth &amp; Forecast to 2030</t>
  </si>
  <si>
    <t>New and emerging technologies for sustainable fisheries: A comprehensive landscape analysis | SSF Hub</t>
  </si>
  <si>
    <t>Increased resilience of fish stocks to climate change; Economic and Job Growth; Increased food Security; Reduced air pollution</t>
  </si>
  <si>
    <t>Ocean Based Protein  (behavioral shift in diets)</t>
  </si>
  <si>
    <t>Marine Derived Proteins Market Size</t>
  </si>
  <si>
    <t>Technology Matrix.pdf</t>
  </si>
  <si>
    <t>Emerging technologies in seafood processing: An overview of innovations reshaping the aquatic food industry - Russo - 2024 - Comprehensive Reviews in Food Science and Food Safety - Wiley Online Library</t>
  </si>
  <si>
    <t>Reduced stress on terrestrial habitats</t>
  </si>
  <si>
    <t>Alternative Fuels for Shipping</t>
  </si>
  <si>
    <t xml:space="preserve">Sustainable Marine Fuels Market Size, 2032 </t>
  </si>
  <si>
    <t>Ocean Visions Analysis of Market Size in Base Year ($B)</t>
  </si>
  <si>
    <t>Ocean Visions Assessment of Growth Rate</t>
  </si>
  <si>
    <t>Oxford Research 2021, Innovation Needs for Decarbonization of Shipping</t>
  </si>
  <si>
    <t>Economic and Job Growth; Ensuring a Just Transition; Reducing Air Pollution in Ports</t>
  </si>
  <si>
    <t>Aspen Institute, 5 Co-Growths of decarbonizing maritime shipping</t>
  </si>
  <si>
    <t>Vard Marine Inc. 2023 Prepared for Transport Canada, Technology Matrix</t>
  </si>
  <si>
    <t>Reduced Operational Costs; Reduced Transfer of Invasive Species</t>
  </si>
  <si>
    <t>Lloyds Register 2024, Smooth Operators: Proactive Maintenance of Ships' Hulls</t>
  </si>
  <si>
    <t>Marine Hybrid Propulsion Global Market Report</t>
  </si>
  <si>
    <t>Economic and Job Growth;  Reducing Air Pollution in Ports</t>
  </si>
  <si>
    <t>PWC, Digitalization of the Maritime Industry</t>
  </si>
  <si>
    <t>Marine Onboard Communication and Control Systems Market Size, Share, Industry Report, Revenue Trends and Growth Drivers</t>
  </si>
  <si>
    <t>Reduced Operational Costs</t>
  </si>
  <si>
    <t>https://oursharedseas.com/funding/</t>
  </si>
  <si>
    <t>Habitat Gain; Increased Biodiversity; Economic and Job Growth; Improved Water Quality; Adaptation to climate Impacts</t>
  </si>
  <si>
    <t>Ocean Panel Climate Solutions; Page 47</t>
  </si>
  <si>
    <t>(PDF) The distribution of global tidal marshes from earth observation data</t>
  </si>
  <si>
    <t>Tidal marsh restoration enhances sediment accretion and carbon accumulation in the Stillaguamish River estuary, Washington | PLOS One</t>
  </si>
  <si>
    <t>Valuing Ecosystem Services Of Coastal Marshes And Wetlands</t>
  </si>
  <si>
    <t>Valuation of seagrass ecosystem services in Kotania Bay Marine Nature Tourism Park, Western Seram, Indonesia</t>
  </si>
  <si>
    <t>Potential of seagrass habitat restorations as nature-based solutions: Practical and scientific implications in Indonesia | Ambio</t>
  </si>
  <si>
    <t>A review of seagrass economic valuations: Gaps and progress in valuation approaches - ScienceDirect</t>
  </si>
  <si>
    <t>The global distribution of seagrass meadows - IOPscience</t>
  </si>
  <si>
    <t>The value of ecosystem services in global marine kelp forests | Nature Communications</t>
  </si>
  <si>
    <t>UNEP;ELD: State of Finance for Nature (page 16)</t>
  </si>
  <si>
    <t>Macroalgae to Plastics</t>
  </si>
  <si>
    <t>Economic and Job Growth;Reduced pressure on terrestrial habitats;</t>
  </si>
  <si>
    <t>Seaweed blue carbon: Ready or not?</t>
  </si>
  <si>
    <t>Macroalgae to Biostimulants</t>
  </si>
  <si>
    <t>Phyconomy.net, Developments in the market of seaweed extract biostimulants</t>
  </si>
  <si>
    <t>https://phyconomy.net/articles/2022-seaweed-review/</t>
  </si>
  <si>
    <t>Economic and Job Growth;Reduced pressure on terrestrial habitats; Increased biodiversity near farms; Seaweed aquaculture can damp wave energy and protect shorelines; Improved crop yield can boost agricultural land resilience</t>
  </si>
  <si>
    <t>Wageingen: Developing the next genration macro-algae based biofuels for transportation via advanced bio-refinery processes</t>
  </si>
  <si>
    <t>Economic and Job Growth;Reduced pressure on terrestrial habitats; Increased biodiversity near farms; Seaweed aquaculture can damp wave energy and protect shorelines</t>
  </si>
  <si>
    <t>Microalgae based Biofuels</t>
  </si>
  <si>
    <t>Algae Biofuel Market Size, Share and Forecast to 2033</t>
  </si>
  <si>
    <t>Ocean Visions Analysis of 2030 Market Size ($B)</t>
  </si>
  <si>
    <t>As Exxon bows out, industry takes step toward sustainable algae biofuels</t>
  </si>
  <si>
    <t>The potential of biofuels from first to fourth generation | PLOS Biology</t>
  </si>
  <si>
    <t>Large Scale Microalgae Biofuel Technology—Development Perspectives in Light of the Barriers and Limitations</t>
  </si>
  <si>
    <t>Reduce pressure on terrestrial ecosystems</t>
  </si>
  <si>
    <t>Market Size Calculations</t>
  </si>
  <si>
    <t>Forecasting market size for an industry is challenging. There are seldom reliable sources that provide current market size, let alone accurate forecasts of future market size. Our approach was to a) find market size data from reliable sources- synthesis reports from organizations such as the World Bank for example b) where that was not available, we found market size data from online market research firms (often there were more than 1 and these usually fall within a narrow range) that are tracking sizes of the subpathways. In order to increase our confidence, we checked the information with our own analysis. This was either bottoms up or a top down analysis. A bottoms up approach is essentially using data for the # of units and price and using the formula: (A) # of Units X (B) Price = Market Size. For example for an energy market, it's Capacity*price/unit capacity. A top down approach is  starting with an overall known size of a market that includes your market (but probably more), then you apply some filters to break it down to more closely estimate the your specific market. For example starting with the size of the overall aquaculture market, assessing how much of that is sustainable and getting to the sustainable aquaculture market. If this calculation was in the same order of magnitude as the information from the market research firms, we used that data. Where we did not agree with data from the market research firms or used our own data, we have mentioned that in the methodology.</t>
  </si>
  <si>
    <t>Each high-level approach listed has specific variables used, delineated by bordered top rows. Sub-pathways are distinguished through alternative shading.</t>
  </si>
  <si>
    <t>Marine Renewable Energy (MRE)</t>
  </si>
  <si>
    <t>Country</t>
  </si>
  <si>
    <t>Offshore wind capacity, 2023</t>
  </si>
  <si>
    <t>Capacity Factor</t>
  </si>
  <si>
    <t>Power (in Mwh)</t>
  </si>
  <si>
    <t>Price ($/MWh)*</t>
  </si>
  <si>
    <t>Market Value ($B)</t>
  </si>
  <si>
    <t>Sources</t>
  </si>
  <si>
    <t>China</t>
  </si>
  <si>
    <t>https://www.rechargenews.com/wind/chinas-offshore-wind-boom-drives-costs-down-to-match-coal/2-1-1465110; https://www.reuters.com/business/energy/offshore-wind-price-hike-set-revive-uk-decarbonisation-goal-2024-02-15/; https://veyt.com/articles/german-ppa-volumes-to-rise-amid-bullish-futures-outlook/; Capacity of offshore wind turbines in operation  2023, by country (in megawatts)- Source: Statistica</t>
  </si>
  <si>
    <t>United Kingdom</t>
  </si>
  <si>
    <t>Germany</t>
  </si>
  <si>
    <t>Netherlands</t>
  </si>
  <si>
    <t>Others</t>
  </si>
  <si>
    <t>Total Market Size ($B)</t>
  </si>
  <si>
    <t>Market Size (2023) from publicly available market research companies ($B)</t>
  </si>
  <si>
    <t>*Price ($/MWh) is in 2024 dollars. Since prices have dropped for offshore power, quite dramatically in China and most of the operating power plants have these higher price commitments locked in, the market size from the market research company seems to be in the right range and so we chose that in our calculatuons of 2030 market size).</t>
  </si>
  <si>
    <t>Other Offshore Ocean Technologies</t>
  </si>
  <si>
    <t>Energy Type</t>
  </si>
  <si>
    <t>Capacity (MW)</t>
  </si>
  <si>
    <t>Power (MWh)</t>
  </si>
  <si>
    <t>Strike Price ($/MWh)</t>
  </si>
  <si>
    <t>Market Size ($B)</t>
  </si>
  <si>
    <t>Market Size (publicly available research companies)</t>
  </si>
  <si>
    <t>Tidal Stream</t>
  </si>
  <si>
    <t xml:space="preserve">https://www.carbonbrief.org/analysis-uks-record-breaking-renewable-auction-will-cut-consumer-bills/#:~:text=The%20auction%20also%20resulted%20in,being%20situated%20in%20UK%20waters%E2%80%9D </t>
  </si>
  <si>
    <t>Wave</t>
  </si>
  <si>
    <t>OTEC</t>
  </si>
  <si>
    <t>Alternative Fuels</t>
  </si>
  <si>
    <t>Fuel</t>
  </si>
  <si>
    <t>Volume in 2024 (mmt)</t>
  </si>
  <si>
    <t>Expected percentage of total low carbon fuel in 2030</t>
  </si>
  <si>
    <t>Volume in 2030 (mmt)</t>
  </si>
  <si>
    <t>Price in 2024 ($/mt)</t>
  </si>
  <si>
    <t>Price in 2030</t>
  </si>
  <si>
    <t>Market Size in 2024 ($B)</t>
  </si>
  <si>
    <t>Market Size in 2030 ($B)</t>
  </si>
  <si>
    <t>Alternative Marine Fuels: Monthly Market Indicators | S&amp;P Global; https://www.pwc.com/gx/en/issues/esg/the-energy-transition/analysing-future-cost-of-green-hydrogen.html</t>
  </si>
  <si>
    <t>Blue Ammonia</t>
  </si>
  <si>
    <t>Green Methanol</t>
  </si>
  <si>
    <t>Hydrogen</t>
  </si>
  <si>
    <t>Summed Market Size from Fuels</t>
  </si>
  <si>
    <t>Growth Rate from Ocean Visions analysis</t>
  </si>
  <si>
    <t>Market Size from publicly available research firm (2021)</t>
  </si>
  <si>
    <t>Market Size 2030 based on publicly available research data from 2024 and Ocean Visions calculated Growth rate</t>
  </si>
  <si>
    <t>Sustainable Food</t>
  </si>
  <si>
    <t>Percent of aquaculture production certified sustainable</t>
  </si>
  <si>
    <t>Size of the aquaculture industry ($B)</t>
  </si>
  <si>
    <t>Size of the sustainable aquaculture industry ($B)</t>
  </si>
  <si>
    <t>Market size from publicly available data ($B)</t>
  </si>
  <si>
    <t>Full article: Eco-Certification in Aquaculture – Economic Incentives and Effects; https://www.trade.gov/aquaculture-industry-summary; https://www.infiniumglobalresearch.com/market-reports/global-sustainable-aquaculture-market#:~:text=Global%20sustainable%20aquaculture%20market%20is%20expected%20to,of%2011.30%%20during%20the%20forecast%20period%202023%2D2030.</t>
  </si>
  <si>
    <t>Sustainable Fisheries*</t>
  </si>
  <si>
    <t>Size of the commercial fishing industry</t>
  </si>
  <si>
    <t>Percentage of commercial fishing certified to be sustainable</t>
  </si>
  <si>
    <t>Size of the sustainable fishery industry</t>
  </si>
  <si>
    <t>Market Size from Publicly available research firm ($B)</t>
  </si>
  <si>
    <t>CAGR</t>
  </si>
  <si>
    <t>https://usesilo.com/blog/how-much-is-the-fishing-industry-worth-in-2024; https://www.msc.org/en-us#:~:text=Certified%20Sustainable%20Seafood%20*%2019.3%%20of%20marine,have%20made%20improvements%20to%20their%20fishing%20practices; https://www.businessresearchinsights.com/market-reports/commercial-fishing-market-106914; https://www.credenceresearch.com/report/sustainable-seafood-market</t>
  </si>
  <si>
    <t xml:space="preserve">*Note: there is some overlap but not perfect but sustainability of fisheries from a climate mitigation perspective and that required by sustainability labels. </t>
  </si>
  <si>
    <t>Current market size ($B)</t>
  </si>
  <si>
    <t>2030 market size ($B)</t>
  </si>
  <si>
    <t>Animal Feed</t>
  </si>
  <si>
    <t>Methane reducing supplements</t>
  </si>
  <si>
    <t>Food</t>
  </si>
  <si>
    <t>/https://phyconomy.net/wp-content/uploads/2023/12/standard-chartered-seaweed-investment.pdf</t>
  </si>
  <si>
    <t>Total</t>
  </si>
  <si>
    <t>Alternative Proteins</t>
  </si>
  <si>
    <t>US Based Microalgae biomass availability by 2050 (MT/yr)</t>
  </si>
  <si>
    <t>US Based Microalgae biomass availability by 2030 (MT/yr)</t>
  </si>
  <si>
    <t>US Based Biofuels Potential based on above biomass availability-2050 (billion gasoline gallon equivalent or GGE)</t>
  </si>
  <si>
    <t>US Based Biofuels Potential based on above biomass availability-2030 (billion GGE)</t>
  </si>
  <si>
    <t>Fraction of worldwide production that is US based</t>
  </si>
  <si>
    <t>Worldwide biofuels production potential from algae in 2030 (billions GGE)</t>
  </si>
  <si>
    <t>Worldwide biofuels production potential from algae in 2030 (billions metric tons)</t>
  </si>
  <si>
    <t>Market Price of biofuels (per metric ton)</t>
  </si>
  <si>
    <t>Approximate Market Size in 2030 ($B)</t>
  </si>
  <si>
    <t>Floating Solar Panels</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</si>
  <si>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</si>
  <si>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</si>
  <si>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</si>
  <si>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</si>
  <si>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</si>
  <si>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</si>
  <si>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</si>
  <si>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</si>
  <si>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</si>
  <si>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</si>
  <si>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</si>
  <si>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</si>
  <si>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</si>
  <si>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</si>
  <si>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</si>
  <si>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</si>
  <si>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</si>
  <si>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</si>
  <si>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</si>
  <si>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</si>
  <si>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</si>
  <si>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Total Installed Capacity (GW)</t>
  </si>
  <si>
    <t>Additional Mitigated Emissions over baseline scenario (GT CO2e)</t>
  </si>
  <si>
    <t>2030-2050 Total Mitigated Emissions (GT CO2e)</t>
  </si>
  <si>
    <t>2030-2039 Total Mitigated Emissions (GT CO2e)</t>
  </si>
  <si>
    <t>Newly Installed Capacity (GW)</t>
  </si>
  <si>
    <t>Energy Generated (TWH)</t>
  </si>
  <si>
    <t>Installed Capacity (GW)</t>
  </si>
  <si>
    <t>Installed Capacity</t>
  </si>
  <si>
    <t>Current Capacity in 2025 (GW)</t>
  </si>
  <si>
    <t>Sub-pathway</t>
  </si>
  <si>
    <t xml:space="preserve">Growth Rate </t>
  </si>
  <si>
    <t>Total Mitigated Emissions 2030-2050 (GTCO2e)</t>
  </si>
  <si>
    <t>Total Mitigated Emissions 2030-2039 (GTCO2e)</t>
  </si>
  <si>
    <t>Sustainable Feed for Aquaculture</t>
  </si>
  <si>
    <t>Summed - Sustainable Aquaculture and Feed for Aquaculture</t>
  </si>
  <si>
    <t>Percentage of total Impact</t>
  </si>
  <si>
    <t>Improved Propulsion Systems</t>
  </si>
  <si>
    <t>MPAs - seafloor protection</t>
  </si>
  <si>
    <t>-</t>
  </si>
  <si>
    <t>Calculations for MPAs - seafloor protection (includes only seafloor protection due to bottom trawling since other factors are included in ecosystem protection above)</t>
  </si>
  <si>
    <t>Mitigation potential (GTCO2e)</t>
  </si>
  <si>
    <t>Project Drawdown Estimate for 2018-2060</t>
  </si>
  <si>
    <t>Estimate for 2030-2050</t>
  </si>
  <si>
    <t>Estimate for 2030-2039</t>
  </si>
  <si>
    <t>Bioplastic cost per tonne</t>
  </si>
  <si>
    <t>Bioplastic production in tons</t>
  </si>
  <si>
    <t>Mitigation from using bioplastics to replace conventional plastics (metric tonne of CO2 per metric tonne plastic replaced)</t>
  </si>
  <si>
    <t>Mitigation Potential (GT CO2e)</t>
  </si>
  <si>
    <t>Total Mitigated Emissions (GT CO2e)-2030-2050</t>
  </si>
  <si>
    <t>Total Mitigated Emissions (GT CO2e)-2030-2039</t>
  </si>
  <si>
    <t>Growth rate for seaweed used in biostimulants</t>
  </si>
  <si>
    <t xml:space="preserve">CO2e mitigated in megatons  per 1M tonne of  seaweed grown for biostimulants </t>
  </si>
  <si>
    <t>Seaweed used for biostimulants in base year  (2022)</t>
  </si>
  <si>
    <t>Maximum expected seaweed tonnage worldwide for biostimulants (M tons)</t>
  </si>
  <si>
    <t>Seaweed grown for biostimulants</t>
  </si>
  <si>
    <t>Macroalgae for fuel, human food, and animal feed</t>
  </si>
  <si>
    <t>Area of seaweed in km2 needed to avoid 1 GT CO2e  (limited nutrient, optimistic cost assumptions scenario) by 2050</t>
  </si>
  <si>
    <t>Avoided emissions (GT CO2e)- assuming a linear relationship with area (per DeAngelo et al, 2023)</t>
  </si>
  <si>
    <t>U.S. Potential</t>
  </si>
  <si>
    <t xml:space="preserve">Microalgae biomass availability by 2050 in ash free dry weight (MT/year) </t>
  </si>
  <si>
    <t>Total Mitigation Potential (GT CO2e)</t>
  </si>
  <si>
    <t>Total Mitigation Potential (GT CO2e): 2030-2039</t>
  </si>
  <si>
    <t>Worldwide Potential</t>
  </si>
  <si>
    <t>Annual worldwide reduction in Gt CO2e from transport attributed to biofuels in 2050</t>
  </si>
  <si>
    <t>Annual US reduction in Gt CO2e from  biofuels in 2050</t>
  </si>
  <si>
    <t>Total Mitigation Potential (GT CO2e)- World</t>
  </si>
  <si>
    <t>Total Mitigation Potential (GT CO2e)- World: 2030-2039</t>
  </si>
  <si>
    <t>Category</t>
  </si>
  <si>
    <t>Total technoeconomic OTEC potential in Indonesia</t>
  </si>
  <si>
    <t>TWH/yr</t>
  </si>
  <si>
    <t>Expected OTEC Capacity in Indonesia by 2050</t>
  </si>
  <si>
    <t>GW</t>
  </si>
  <si>
    <t>Mid range of the zero NPV scenario</t>
  </si>
  <si>
    <t>Energy Generated in Indonesia in 2050</t>
  </si>
  <si>
    <t>TWH</t>
  </si>
  <si>
    <t>% of total technoeconomic potential that can be satisfied by OTEC</t>
  </si>
  <si>
    <t>if we assume this carries over to the rest of the world...</t>
  </si>
  <si>
    <t>World technoeconomic OTEC potential</t>
  </si>
  <si>
    <t>Worldwide energy from OTEC in 2050</t>
  </si>
  <si>
    <t>2% of world technoeconomic OTEC potential</t>
  </si>
  <si>
    <t>Worldwide capacity in 2050</t>
  </si>
  <si>
    <t>Ener Outlook EnerBlue Scenario which anticipates a global temperature rise between 2C and 2.5 C</t>
  </si>
  <si>
    <t>Geography</t>
  </si>
  <si>
    <t>2025</t>
  </si>
  <si>
    <t>2026</t>
  </si>
  <si>
    <t>2027</t>
  </si>
  <si>
    <t>2028</t>
  </si>
  <si>
    <t>2029</t>
  </si>
  <si>
    <t>Average Emissions Intensity (gCO2/KWH)</t>
  </si>
  <si>
    <t>Middle East</t>
  </si>
  <si>
    <t>Asia Pacific</t>
  </si>
  <si>
    <t>Africa</t>
  </si>
  <si>
    <t>North America</t>
  </si>
  <si>
    <t>CIS</t>
  </si>
  <si>
    <t>Europe</t>
  </si>
  <si>
    <t>Latin America</t>
  </si>
  <si>
    <t>Total Electricity Generation in Region in TWH</t>
  </si>
  <si>
    <t>Marginal Emissions Intensity</t>
  </si>
  <si>
    <t>https://data.nrel.gov/submissions/183</t>
  </si>
  <si>
    <t>Sum (for Salinity Gradient)</t>
  </si>
  <si>
    <t>OTEC Counterfactual (Marginal Emissions)</t>
  </si>
  <si>
    <t>Tidal Counterfactual (Marginal Emissions)</t>
  </si>
  <si>
    <t>Wave Counterfactual (Marginal Emissions)</t>
  </si>
  <si>
    <t>FSP Counterfactual</t>
  </si>
  <si>
    <t>FSP Counterfactual (Marginal Emissions)</t>
  </si>
  <si>
    <t>Unit</t>
  </si>
  <si>
    <t>Time Frame</t>
  </si>
  <si>
    <t>Start</t>
  </si>
  <si>
    <t>End</t>
  </si>
  <si>
    <t>Offshore Wind-Scale Up</t>
  </si>
  <si>
    <t>2010-2020</t>
  </si>
  <si>
    <t>https://www.irena.org/Energy-Transition/Technology/Wind-energy</t>
  </si>
  <si>
    <t>Offshore Wind-Next 10 year projection</t>
  </si>
  <si>
    <t>2020-2030</t>
  </si>
  <si>
    <t>https://www.irena.org/publications/2021/Jul/Offshore-Renewables-An-Action-Agenda-for-Deployment</t>
  </si>
  <si>
    <t>Deepwater Oil and Gas</t>
  </si>
  <si>
    <t>Million barrels of oil equivalent/days</t>
  </si>
  <si>
    <t>1990-2022</t>
  </si>
  <si>
    <t>https://www.woodmac.com/news/opinion/global-deepwater-production-to-increase-60/</t>
  </si>
  <si>
    <t>Seaborne Trade</t>
  </si>
  <si>
    <t>Billions of tons</t>
  </si>
  <si>
    <t>1999-2019</t>
  </si>
  <si>
    <t>https://hbs.unctad.org/world-seaborne-trade/</t>
  </si>
  <si>
    <t>Marine Aquaculture</t>
  </si>
  <si>
    <t>Million tons (live weight)</t>
  </si>
  <si>
    <t>1990-2020</t>
  </si>
  <si>
    <t>https://www.dnv.com/focus-areas/offshore-aquaculture/marine-aquaculture-forecast/</t>
  </si>
  <si>
    <t>Median Growth rate</t>
  </si>
  <si>
    <t>Scenario</t>
  </si>
  <si>
    <t>Growth rate</t>
  </si>
  <si>
    <t>Base Energy (GT CO2e/year)</t>
  </si>
  <si>
    <t>1.5 C (GT CO2e/yr)</t>
  </si>
  <si>
    <t>Delta (GT CO2e/yr)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</si>
</sst>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uot;* #,##0.00_);_(&quot;$&quot;* \(#,##0.00\);_(&quot;$&quot;* &quot;-&quot;??_);_(@_)"/>
    <numFmt numFmtId="164" formatCode="0.0000"/>
    <numFmt numFmtId="165" formatCode="0.000"/>
    <numFmt numFmtId="166" formatCode="0.000000"/>
    <numFmt numFmtId="167" formatCode="_(&quot;$&quot;* #,##0_);_(&quot;$&quot;* \(#,##0\);_(&quot;$&quot;* &quot;-&quot;??_);_(@_)"/>
    <numFmt numFmtId="168" formatCode="0.000%"/>
    <numFmt numFmtId="169" formatCode="00000"/>
  </numFmts>
  <fonts count="41" x14ac:knownFonts="1">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1"/>
      <color rgb="FF000000"/>
      <name val="Calibri"/>
      <family val="2"/>
      <scheme val="minor"/>
    </font>
    <font>
      <b/>
      <sz val="15"/>
      <color theme="3"/>
      <name val="Calibri"/>
      <family val="2"/>
      <scheme val="minor"/>
    </font>
    <font>
      <b/>
      <sz val="11"/>
      <color theme="0"/>
      <name val="Calibri"/>
      <family val="2"/>
      <scheme val="minor"/>
    </font>
    <font>
      <sz val="11"/>
      <color theme="0"/>
      <name val="Calibri"/>
      <family val="2"/>
      <scheme val="minor"/>
    </font>
    <font>
      <sz val="8"/>
      <name val="Calibri"/>
      <family val="2"/>
      <scheme val="minor"/>
    </font>
    <font>
      <b/>
      <sz val="15"/>
      <color theme="0"/>
      <name val="Calibri"/>
      <family val="2"/>
      <scheme val="minor"/>
    </font>
    <font>
      <sz val="11"/>
      <color rgb="FFFF0000"/>
      <name val="Calibri"/>
      <family val="2"/>
      <scheme val="minor"/>
    </font>
    <font>
      <u/>
      <sz val="11"/>
      <color rgb="FFFF0000"/>
      <name val="Calibri"/>
      <family val="2"/>
      <scheme val="minor"/>
    </font>
    <font>
      <u/>
      <sz val="11"/>
      <color rgb="FF000000"/>
      <name val="Calibri"/>
      <family val="2"/>
      <scheme val="minor"/>
    </font>
    <font>
      <sz val="11"/>
      <name val="Calibri"/>
      <family val="2"/>
      <scheme val="minor"/>
    </font>
    <font>
      <sz val="12"/>
      <color theme="1"/>
      <name val="Calibri"/>
      <family val="2"/>
      <scheme val="minor"/>
    </font>
    <font>
      <b/>
      <sz val="15"/>
      <color theme="1"/>
      <name val="Calibri"/>
      <family val="2"/>
      <scheme val="minor"/>
    </font>
    <font>
      <b/>
      <sz val="12"/>
      <color theme="1"/>
      <name val="Calibri"/>
      <family val="2"/>
      <scheme val="minor"/>
    </font>
    <font>
      <i/>
      <sz val="11"/>
      <color theme="1"/>
      <name val="Calibri"/>
      <family val="2"/>
      <scheme val="minor"/>
    </font>
    <font>
      <sz val="11"/>
      <color rgb="FF000000"/>
      <name val="Calibri"/>
      <family val="2"/>
    </font>
    <font>
      <b/>
      <sz val="10"/>
      <color theme="0"/>
      <name val="Calibri"/>
      <family val="2"/>
      <scheme val="minor"/>
    </font>
    <font>
      <u/>
      <sz val="11"/>
      <color theme="4"/>
      <name val="Calibri"/>
      <family val="2"/>
      <scheme val="minor"/>
    </font>
    <font>
      <i/>
      <sz val="11"/>
      <color rgb="FF000000"/>
      <name val="Calibri"/>
      <family val="2"/>
      <scheme val="minor"/>
    </font>
    <font>
      <b/>
      <sz val="15"/>
      <color rgb="FF000000"/>
      <name val="Calibri"/>
      <family val="2"/>
      <scheme val="minor"/>
    </font>
    <font>
      <b/>
      <sz val="10"/>
      <color rgb="FF000000"/>
      <name val="Calibri"/>
      <family val="2"/>
      <scheme val="minor"/>
    </font>
    <font>
      <sz val="11"/>
      <color rgb="FF92D050"/>
      <name val="Calibri"/>
      <family val="2"/>
      <scheme val="minor"/>
    </font>
    <font>
      <sz val="11"/>
      <color theme="9"/>
      <name val="Calibri"/>
      <family val="2"/>
      <scheme val="minor"/>
    </font>
    <font>
      <b/>
      <sz val="15"/>
      <name val="Calibri"/>
      <family val="2"/>
      <scheme val="minor"/>
    </font>
    <font>
      <sz val="20"/>
      <color theme="1"/>
      <name val="Calibri"/>
      <family val="2"/>
      <scheme val="minor"/>
    </font>
    <font>
      <sz val="20"/>
      <color rgb="FF000000"/>
      <name val="Calibri"/>
      <family val="2"/>
      <scheme val="minor"/>
    </font>
    <font>
      <sz val="48"/>
      <color theme="1"/>
      <name val="Calibri"/>
      <family val="2"/>
      <scheme val="minor"/>
    </font>
    <font>
      <sz val="26"/>
      <color theme="1"/>
      <name val="Calibri"/>
      <family val="2"/>
      <scheme val="minor"/>
    </font>
    <font>
      <sz val="28"/>
      <color rgb="FF000000"/>
      <name val="Calibri"/>
      <family val="2"/>
      <scheme val="minor"/>
    </font>
    <font>
      <sz val="28"/>
      <color theme="1"/>
      <name val="Calibri"/>
      <family val="2"/>
      <scheme val="minor"/>
    </font>
    <font>
      <sz val="28"/>
      <name val="Calibri"/>
      <family val="2"/>
      <scheme val="minor"/>
    </font>
    <font>
      <b/>
      <sz val="28"/>
      <color theme="1"/>
      <name val="Calibri"/>
      <family val="2"/>
      <scheme val="minor"/>
    </font>
    <font>
      <b/>
      <sz val="26"/>
      <name val="Calibri"/>
      <family val="2"/>
      <scheme val="minor"/>
    </font>
    <font>
      <b/>
      <sz val="22"/>
      <color theme="1"/>
      <name val="Calibri"/>
      <family val="2"/>
      <scheme val="minor"/>
    </font>
    <font>
      <b/>
      <sz val="24"/>
      <color theme="1"/>
      <name val="Calibri"/>
      <family val="2"/>
      <scheme val="minor"/>
    </font>
    <font>
      <sz val="24"/>
      <color theme="1"/>
      <name val="Calibri"/>
      <family val="2"/>
      <scheme val="minor"/>
    </font>
    <font>
      <b/>
      <sz val="26"/>
      <color theme="1"/>
      <name val="Calibri"/>
      <family val="2"/>
      <scheme val="minor"/>
    </font>
    <font>
      <b/>
      <sz val="11"/>
      <color rgb="FF000000"/>
      <name val="Calibri"/>
      <family val="2"/>
    </font>
  </fonts>
  <fills count="28">
    <fill>
      <patternFill patternType="none"/>
    </fill>
    <fill>
      <patternFill patternType="gray125"/>
    </fill>
    <fill>
      <patternFill patternType="solid">
        <fgColor theme="9" tint="0.39997558519241921"/>
        <bgColor indexed="64"/>
      </patternFill>
    </fill>
    <fill>
      <patternFill patternType="solid">
        <fgColor theme="1"/>
        <bgColor theme="1"/>
      </patternFill>
    </fill>
    <fill>
      <patternFill patternType="solid">
        <fgColor theme="0" tint="-0.34998626667073579"/>
        <bgColor theme="0" tint="-0.34998626667073579"/>
      </patternFill>
    </fill>
    <fill>
      <patternFill patternType="solid">
        <fgColor theme="0" tint="-0.14999847407452621"/>
        <bgColor theme="0" tint="-0.14999847407452621"/>
      </patternFill>
    </fill>
    <fill>
      <patternFill patternType="solid">
        <fgColor theme="0"/>
        <bgColor indexed="64"/>
      </patternFill>
    </fill>
    <fill>
      <patternFill patternType="solid">
        <fgColor theme="6"/>
        <bgColor indexed="64"/>
      </patternFill>
    </fill>
    <fill>
      <patternFill patternType="solid">
        <fgColor theme="1"/>
        <bgColor indexed="64"/>
      </patternFill>
    </fill>
    <fill>
      <patternFill patternType="solid">
        <fgColor theme="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5"/>
        <bgColor indexed="64"/>
      </patternFill>
    </fill>
    <fill>
      <patternFill patternType="solid">
        <fgColor rgb="FFC00000"/>
        <bgColor indexed="64"/>
      </patternFill>
    </fill>
    <fill>
      <patternFill patternType="solid">
        <fgColor rgb="FF0070C0"/>
        <bgColor indexed="64"/>
      </patternFill>
    </fill>
    <fill>
      <patternFill patternType="solid">
        <fgColor theme="7"/>
        <bgColor indexed="64"/>
      </patternFill>
    </fill>
    <fill>
      <patternFill patternType="solid">
        <fgColor rgb="FF00B050"/>
        <bgColor indexed="64"/>
      </patternFill>
    </fill>
    <fill>
      <patternFill patternType="solid">
        <fgColor rgb="FF92D050"/>
        <bgColor indexed="64"/>
      </patternFill>
    </fill>
    <fill>
      <patternFill patternType="solid">
        <fgColor theme="6" tint="0.39997558519241921"/>
        <bgColor indexed="64"/>
      </patternFill>
    </fill>
    <fill>
      <patternFill patternType="solid">
        <fgColor theme="4"/>
        <bgColor indexed="64"/>
      </patternFill>
    </fill>
    <fill>
      <patternFill patternType="solid">
        <fgColor theme="0" tint="-4.9989318521683403E-2"/>
        <bgColor indexed="64"/>
      </patternFill>
    </fill>
    <fill>
      <patternFill patternType="solid">
        <fgColor rgb="FF009688"/>
        <bgColor indexed="64"/>
      </patternFill>
    </fill>
    <fill>
      <patternFill patternType="solid">
        <fgColor rgb="FFF2C12E"/>
        <bgColor indexed="64"/>
      </patternFill>
    </fill>
    <fill>
      <patternFill patternType="solid">
        <fgColor rgb="FFFF5252"/>
        <bgColor indexed="64"/>
      </patternFill>
    </fill>
    <fill>
      <patternFill patternType="solid">
        <fgColor rgb="FFFFC000"/>
        <bgColor indexed="64"/>
      </patternFill>
    </fill>
    <fill>
      <patternFill patternType="solid">
        <fgColor rgb="FFFF5050"/>
        <bgColor indexed="64"/>
      </patternFill>
    </fill>
    <fill>
      <patternFill patternType="solid">
        <fgColor rgb="FFF2F2F2"/>
        <bgColor indexed="64"/>
      </patternFill>
    </fill>
    <fill>
      <patternFill patternType="solid">
        <fgColor rgb="FF009699"/>
        <bgColor indexed="64"/>
      </patternFill>
    </fill>
  </fills>
  <borders count="49">
    <border>
      <left/>
      <right/>
      <top/>
      <bottom/>
      <diagonal/>
    </border>
    <border>
      <left/>
      <right/>
      <top style="thick">
        <color auto="1"/>
      </top>
      <bottom/>
      <diagonal/>
    </border>
    <border>
      <left/>
      <right/>
      <top/>
      <bottom style="thick">
        <color theme="4"/>
      </bottom>
      <diagonal/>
    </border>
    <border>
      <left/>
      <right/>
      <top style="thin">
        <color theme="1"/>
      </top>
      <bottom/>
      <diagonal/>
    </border>
    <border>
      <left style="thin">
        <color theme="1"/>
      </left>
      <right/>
      <top style="thin">
        <color theme="1"/>
      </top>
      <bottom/>
      <diagonal/>
    </border>
    <border>
      <left/>
      <right/>
      <top style="thin">
        <color theme="1"/>
      </top>
      <bottom style="thin">
        <color theme="1"/>
      </bottom>
      <diagonal/>
    </border>
    <border>
      <left style="thin">
        <color theme="1"/>
      </left>
      <right/>
      <top style="thin">
        <color theme="1"/>
      </top>
      <bottom style="thin">
        <color theme="1"/>
      </bottom>
      <diagonal/>
    </border>
    <border>
      <left style="thin">
        <color theme="1"/>
      </left>
      <right/>
      <top/>
      <bottom/>
      <diagonal/>
    </border>
    <border>
      <left/>
      <right style="thin">
        <color theme="1"/>
      </right>
      <top style="thin">
        <color theme="1"/>
      </top>
      <bottom/>
      <diagonal/>
    </border>
    <border>
      <left style="thin">
        <color theme="0"/>
      </left>
      <right/>
      <top style="thin">
        <color theme="0"/>
      </top>
      <bottom/>
      <diagonal/>
    </border>
    <border>
      <left/>
      <right/>
      <top style="thin">
        <color theme="0"/>
      </top>
      <bottom/>
      <diagonal/>
    </border>
    <border>
      <left style="thin">
        <color theme="0"/>
      </left>
      <right/>
      <top style="thick">
        <color theme="0"/>
      </top>
      <bottom/>
      <diagonal/>
    </border>
    <border>
      <left/>
      <right/>
      <top style="thick">
        <color theme="0"/>
      </top>
      <bottom/>
      <diagonal/>
    </border>
    <border>
      <left style="thin">
        <color theme="0"/>
      </left>
      <right/>
      <top/>
      <bottom/>
      <diagonal/>
    </border>
    <border>
      <left style="thin">
        <color auto="1"/>
      </left>
      <right/>
      <top style="thin">
        <color auto="1"/>
      </top>
      <bottom style="thin">
        <color auto="1"/>
      </bottom>
      <diagonal/>
    </border>
    <border>
      <left style="thin">
        <color theme="1"/>
      </left>
      <right/>
      <top/>
      <bottom style="thin">
        <color theme="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theme="1"/>
      </left>
      <right/>
      <top style="thin">
        <color theme="1"/>
      </top>
      <bottom style="medium">
        <color indexed="64"/>
      </bottom>
      <diagonal/>
    </border>
    <border>
      <left/>
      <right/>
      <top style="thin">
        <color theme="1"/>
      </top>
      <bottom style="medium">
        <color indexed="64"/>
      </bottom>
      <diagonal/>
    </border>
    <border>
      <left style="thin">
        <color theme="1"/>
      </left>
      <right/>
      <top style="thin">
        <color theme="1"/>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diagonal/>
    </border>
    <border>
      <left/>
      <right/>
      <top style="thin">
        <color rgb="FF000000"/>
      </top>
      <bottom/>
      <diagonal/>
    </border>
    <border>
      <left/>
      <right/>
      <top/>
      <bottom style="medium">
        <color rgb="FF000000"/>
      </bottom>
      <diagonal/>
    </border>
    <border>
      <left style="thin">
        <color theme="0"/>
      </left>
      <right/>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theme="1"/>
      </bottom>
      <diagonal/>
    </border>
    <border>
      <left/>
      <right style="thin">
        <color rgb="FF000000"/>
      </right>
      <top/>
      <bottom style="thin">
        <color rgb="FF000000"/>
      </bottom>
      <diagonal/>
    </border>
    <border>
      <left/>
      <right style="thin">
        <color rgb="FF000000"/>
      </right>
      <top style="thin">
        <color theme="1"/>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auto="1"/>
      </left>
      <right style="thin">
        <color rgb="FF000000"/>
      </right>
      <top style="thin">
        <color auto="1"/>
      </top>
      <bottom style="thin">
        <color auto="1"/>
      </bottom>
      <diagonal/>
    </border>
    <border>
      <left style="thin">
        <color indexed="64"/>
      </left>
      <right style="thin">
        <color rgb="FF000000"/>
      </right>
      <top style="thin">
        <color indexed="64"/>
      </top>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9" fontId="2" fillId="0" borderId="0" applyFont="0" applyFill="0" applyBorder="0" applyAlignment="0" applyProtection="0"/>
    <xf numFmtId="0" fontId="3" fillId="0" borderId="0" applyNumberFormat="0" applyFill="0" applyBorder="0" applyAlignment="0" applyProtection="0"/>
    <xf numFmtId="44" fontId="2" fillId="0" borderId="0" applyFont="0" applyFill="0" applyBorder="0" applyAlignment="0" applyProtection="0"/>
    <xf numFmtId="0" fontId="5" fillId="0" borderId="2" applyNumberFormat="0" applyFill="0" applyAlignment="0" applyProtection="0"/>
    <xf numFmtId="0" fontId="2" fillId="0" borderId="0"/>
  </cellStyleXfs>
  <cellXfs count="461">
    <xf numFmtId="0" fontId="0" fillId="0" borderId="0" xfId="0"/>
    <xf numFmtId="0" fontId="0" fillId="0" borderId="0" xfId="0" applyAlignment="1">
      <alignment wrapText="1"/>
    </xf>
    <xf numFmtId="0" fontId="0" fillId="0" borderId="0" xfId="0" applyAlignment="1">
      <alignment horizontal="left" wrapText="1"/>
    </xf>
    <xf numFmtId="9" fontId="0" fillId="0" borderId="0" xfId="0" applyNumberFormat="1"/>
    <xf numFmtId="0" fontId="0" fillId="0" borderId="0" xfId="0" applyAlignment="1">
      <alignment horizontal="center"/>
    </xf>
    <xf numFmtId="10" fontId="0" fillId="0" borderId="0" xfId="1" applyNumberFormat="1" applyFont="1" applyAlignment="1" applyProtection="1">
      <alignment horizontal="center"/>
    </xf>
    <xf numFmtId="0" fontId="0" fillId="0" borderId="0" xfId="0" applyAlignment="1">
      <alignment horizontal="center" vertical="center" wrapText="1"/>
    </xf>
    <xf numFmtId="2" fontId="0" fillId="0" borderId="0" xfId="0" applyNumberFormat="1" applyAlignment="1">
      <alignment horizontal="center"/>
    </xf>
    <xf numFmtId="0" fontId="6" fillId="3" borderId="4" xfId="0" applyFont="1" applyFill="1" applyBorder="1"/>
    <xf numFmtId="0" fontId="6" fillId="3" borderId="3" xfId="0" applyFont="1" applyFill="1" applyBorder="1" applyAlignment="1">
      <alignment horizontal="center"/>
    </xf>
    <xf numFmtId="0" fontId="0" fillId="0" borderId="4" xfId="0" applyBorder="1"/>
    <xf numFmtId="2" fontId="0" fillId="0" borderId="3" xfId="0" applyNumberFormat="1" applyBorder="1" applyAlignment="1">
      <alignment horizontal="center"/>
    </xf>
    <xf numFmtId="0" fontId="0" fillId="0" borderId="6" xfId="0" applyBorder="1"/>
    <xf numFmtId="2" fontId="0" fillId="0" borderId="5" xfId="0" applyNumberFormat="1" applyBorder="1" applyAlignment="1">
      <alignment horizontal="center"/>
    </xf>
    <xf numFmtId="0" fontId="0" fillId="0" borderId="7" xfId="0" applyBorder="1"/>
    <xf numFmtId="0" fontId="0" fillId="0" borderId="0" xfId="0" applyAlignment="1">
      <alignment horizontal="center" vertical="center"/>
    </xf>
    <xf numFmtId="2" fontId="0" fillId="0" borderId="0" xfId="0" applyNumberFormat="1"/>
    <xf numFmtId="0" fontId="0" fillId="0" borderId="3" xfId="0" applyBorder="1"/>
    <xf numFmtId="0" fontId="7" fillId="7" borderId="6" xfId="0" applyFont="1" applyFill="1" applyBorder="1"/>
    <xf numFmtId="1" fontId="6" fillId="3" borderId="3" xfId="0" applyNumberFormat="1" applyFont="1" applyFill="1" applyBorder="1"/>
    <xf numFmtId="166" fontId="0" fillId="0" borderId="0" xfId="0" applyNumberFormat="1"/>
    <xf numFmtId="1" fontId="0" fillId="5" borderId="9" xfId="0" applyNumberFormat="1" applyFill="1" applyBorder="1" applyAlignment="1">
      <alignment horizontal="center" vertical="center"/>
    </xf>
    <xf numFmtId="0" fontId="0" fillId="5" borderId="9" xfId="0" applyFill="1" applyBorder="1" applyAlignment="1">
      <alignment horizontal="center" vertical="center"/>
    </xf>
    <xf numFmtId="0" fontId="0" fillId="5" borderId="10" xfId="0" applyFill="1" applyBorder="1" applyAlignment="1">
      <alignment horizontal="center" vertical="center"/>
    </xf>
    <xf numFmtId="1" fontId="0" fillId="4" borderId="9" xfId="0" applyNumberFormat="1"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1" fontId="0" fillId="4" borderId="11" xfId="0" applyNumberFormat="1"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6" fillId="3" borderId="13" xfId="0" applyFont="1" applyFill="1" applyBorder="1" applyAlignment="1">
      <alignment horizontal="center" vertical="center"/>
    </xf>
    <xf numFmtId="0" fontId="6" fillId="3" borderId="0" xfId="0" applyFont="1" applyFill="1" applyAlignment="1">
      <alignment horizontal="center" vertical="center"/>
    </xf>
    <xf numFmtId="0" fontId="0" fillId="0" borderId="0" xfId="0" applyProtection="1">
      <protection locked="0"/>
    </xf>
    <xf numFmtId="0" fontId="6" fillId="3" borderId="3" xfId="0" applyFont="1" applyFill="1" applyBorder="1" applyAlignment="1" applyProtection="1">
      <alignment horizontal="center"/>
      <protection locked="0"/>
    </xf>
    <xf numFmtId="2" fontId="0" fillId="0" borderId="0" xfId="0" applyNumberFormat="1" applyAlignment="1" applyProtection="1">
      <alignment horizontal="center"/>
      <protection locked="0"/>
    </xf>
    <xf numFmtId="0" fontId="0" fillId="0" borderId="0" xfId="0" applyAlignment="1" applyProtection="1">
      <alignment horizontal="center"/>
      <protection locked="0"/>
    </xf>
    <xf numFmtId="2" fontId="3" fillId="0" borderId="3" xfId="2" applyNumberFormat="1" applyBorder="1" applyAlignment="1" applyProtection="1">
      <alignment horizontal="center"/>
      <protection locked="0"/>
    </xf>
    <xf numFmtId="2" fontId="3" fillId="0" borderId="5" xfId="2" applyNumberFormat="1" applyBorder="1" applyAlignment="1" applyProtection="1">
      <alignment horizontal="center"/>
      <protection locked="0"/>
    </xf>
    <xf numFmtId="0" fontId="3" fillId="5" borderId="10" xfId="2" applyFill="1" applyBorder="1" applyAlignment="1">
      <alignment horizontal="center" vertical="center"/>
    </xf>
    <xf numFmtId="0" fontId="10" fillId="0" borderId="0" xfId="0" applyFont="1"/>
    <xf numFmtId="0" fontId="6" fillId="7" borderId="6" xfId="0" applyFont="1" applyFill="1" applyBorder="1" applyAlignment="1">
      <alignment wrapText="1"/>
    </xf>
    <xf numFmtId="2" fontId="0" fillId="0" borderId="0" xfId="0" applyNumberFormat="1" applyAlignment="1">
      <alignment horizontal="left"/>
    </xf>
    <xf numFmtId="0" fontId="0" fillId="0" borderId="0" xfId="0" applyAlignment="1">
      <alignment horizontal="left"/>
    </xf>
    <xf numFmtId="165" fontId="0" fillId="0" borderId="0" xfId="0" applyNumberFormat="1"/>
    <xf numFmtId="0" fontId="5" fillId="0" borderId="0" xfId="4" applyBorder="1"/>
    <xf numFmtId="0" fontId="7" fillId="7" borderId="15" xfId="0" applyFont="1" applyFill="1" applyBorder="1"/>
    <xf numFmtId="0" fontId="6" fillId="8" borderId="0" xfId="0" applyFont="1" applyFill="1"/>
    <xf numFmtId="0" fontId="0" fillId="0" borderId="16" xfId="0" applyBorder="1"/>
    <xf numFmtId="0" fontId="0" fillId="0" borderId="16" xfId="0" applyBorder="1" applyAlignment="1">
      <alignment wrapText="1"/>
    </xf>
    <xf numFmtId="0" fontId="4" fillId="0" borderId="16" xfId="0" applyFont="1" applyBorder="1"/>
    <xf numFmtId="2" fontId="0" fillId="0" borderId="16" xfId="0" applyNumberFormat="1" applyBorder="1"/>
    <xf numFmtId="0" fontId="6" fillId="3" borderId="7" xfId="0" applyFont="1" applyFill="1" applyBorder="1"/>
    <xf numFmtId="0" fontId="6" fillId="3" borderId="0" xfId="0" applyFont="1" applyFill="1"/>
    <xf numFmtId="0" fontId="3" fillId="0" borderId="16" xfId="2" applyBorder="1"/>
    <xf numFmtId="9" fontId="0" fillId="0" borderId="16" xfId="0" applyNumberFormat="1" applyBorder="1"/>
    <xf numFmtId="0" fontId="0" fillId="0" borderId="14" xfId="0" applyBorder="1"/>
    <xf numFmtId="2" fontId="3" fillId="0" borderId="16" xfId="2" applyNumberFormat="1" applyBorder="1"/>
    <xf numFmtId="2" fontId="0" fillId="0" borderId="16" xfId="0" applyNumberFormat="1" applyBorder="1" applyAlignment="1">
      <alignment wrapText="1"/>
    </xf>
    <xf numFmtId="0" fontId="0" fillId="7" borderId="9" xfId="0" applyFill="1" applyBorder="1" applyAlignment="1">
      <alignment horizontal="center" vertical="center"/>
    </xf>
    <xf numFmtId="0" fontId="0" fillId="0" borderId="9" xfId="0" applyBorder="1" applyAlignment="1">
      <alignment horizontal="center" vertical="center"/>
    </xf>
    <xf numFmtId="0" fontId="0" fillId="7" borderId="11" xfId="0" applyFill="1" applyBorder="1" applyAlignment="1">
      <alignment horizontal="center" vertical="center"/>
    </xf>
    <xf numFmtId="1" fontId="0" fillId="7" borderId="9" xfId="0" applyNumberFormat="1" applyFill="1" applyBorder="1" applyAlignment="1">
      <alignment horizontal="center" vertical="center"/>
    </xf>
    <xf numFmtId="0" fontId="6" fillId="8" borderId="13" xfId="0" applyFont="1" applyFill="1" applyBorder="1" applyAlignment="1">
      <alignment horizontal="center" vertical="center"/>
    </xf>
    <xf numFmtId="1" fontId="0" fillId="10" borderId="9" xfId="0" applyNumberFormat="1" applyFill="1" applyBorder="1" applyAlignment="1">
      <alignment horizontal="center" vertical="center"/>
    </xf>
    <xf numFmtId="0" fontId="0" fillId="10" borderId="9" xfId="0" applyFill="1" applyBorder="1" applyAlignment="1">
      <alignment horizontal="center" vertical="center"/>
    </xf>
    <xf numFmtId="1" fontId="0" fillId="7" borderId="11" xfId="0" applyNumberFormat="1" applyFill="1" applyBorder="1" applyAlignment="1">
      <alignment horizontal="center" vertical="center"/>
    </xf>
    <xf numFmtId="1" fontId="6" fillId="8" borderId="13" xfId="0" applyNumberFormat="1" applyFont="1" applyFill="1" applyBorder="1" applyAlignment="1">
      <alignment horizontal="center" vertical="center"/>
    </xf>
    <xf numFmtId="0" fontId="0" fillId="10" borderId="9" xfId="0" applyFill="1" applyBorder="1" applyAlignment="1">
      <alignment horizontal="center"/>
    </xf>
    <xf numFmtId="1" fontId="0" fillId="5" borderId="9" xfId="0" applyNumberFormat="1" applyFill="1" applyBorder="1" applyAlignment="1">
      <alignment horizontal="center"/>
    </xf>
    <xf numFmtId="1" fontId="0" fillId="10" borderId="9" xfId="0" applyNumberFormat="1" applyFill="1" applyBorder="1" applyAlignment="1">
      <alignment horizontal="center"/>
    </xf>
    <xf numFmtId="0" fontId="0" fillId="5" borderId="0" xfId="0" applyFill="1" applyAlignment="1">
      <alignment horizontal="center" vertical="center"/>
    </xf>
    <xf numFmtId="0" fontId="0" fillId="5" borderId="13" xfId="0" applyFill="1" applyBorder="1" applyAlignment="1">
      <alignment horizontal="center" vertical="center"/>
    </xf>
    <xf numFmtId="1" fontId="0" fillId="5" borderId="13" xfId="0" applyNumberFormat="1" applyFill="1" applyBorder="1" applyAlignment="1">
      <alignment horizontal="center" vertical="center"/>
    </xf>
    <xf numFmtId="1" fontId="0" fillId="10" borderId="13" xfId="0" applyNumberFormat="1" applyFill="1" applyBorder="1" applyAlignment="1">
      <alignment horizontal="center" vertical="center"/>
    </xf>
    <xf numFmtId="0" fontId="0" fillId="0" borderId="18" xfId="0" applyBorder="1"/>
    <xf numFmtId="2" fontId="0" fillId="0" borderId="19" xfId="0" applyNumberFormat="1" applyBorder="1" applyAlignment="1">
      <alignment horizontal="center"/>
    </xf>
    <xf numFmtId="2" fontId="3" fillId="0" borderId="19" xfId="2" applyNumberFormat="1" applyBorder="1" applyAlignment="1" applyProtection="1">
      <alignment horizontal="center"/>
      <protection locked="0"/>
    </xf>
    <xf numFmtId="0" fontId="14" fillId="0" borderId="0" xfId="0" applyFont="1"/>
    <xf numFmtId="2" fontId="9" fillId="6" borderId="0" xfId="4" applyNumberFormat="1" applyFont="1" applyFill="1" applyBorder="1"/>
    <xf numFmtId="9" fontId="3" fillId="0" borderId="16" xfId="2" applyNumberFormat="1" applyBorder="1"/>
    <xf numFmtId="0" fontId="5" fillId="0" borderId="0" xfId="4" applyBorder="1" applyAlignment="1">
      <alignment wrapText="1"/>
    </xf>
    <xf numFmtId="0" fontId="3" fillId="0" borderId="0" xfId="2" applyBorder="1" applyAlignment="1">
      <alignment horizontal="left" wrapText="1"/>
    </xf>
    <xf numFmtId="9" fontId="0" fillId="0" borderId="16" xfId="1" applyFont="1" applyBorder="1" applyAlignment="1">
      <alignment horizontal="right" vertical="center"/>
    </xf>
    <xf numFmtId="9" fontId="3" fillId="0" borderId="22" xfId="2" applyNumberFormat="1" applyBorder="1"/>
    <xf numFmtId="0" fontId="3" fillId="0" borderId="22" xfId="2" applyBorder="1"/>
    <xf numFmtId="9" fontId="4" fillId="0" borderId="22" xfId="0" applyNumberFormat="1" applyFont="1" applyBorder="1"/>
    <xf numFmtId="0" fontId="4" fillId="0" borderId="22" xfId="0" applyFont="1" applyBorder="1"/>
    <xf numFmtId="2" fontId="0" fillId="0" borderId="22" xfId="0" applyNumberFormat="1" applyBorder="1"/>
    <xf numFmtId="164" fontId="6" fillId="7" borderId="22" xfId="0" applyNumberFormat="1" applyFont="1" applyFill="1" applyBorder="1"/>
    <xf numFmtId="164" fontId="0" fillId="0" borderId="24" xfId="0" applyNumberFormat="1" applyBorder="1"/>
    <xf numFmtId="0" fontId="0" fillId="0" borderId="24" xfId="0" applyBorder="1"/>
    <xf numFmtId="0" fontId="0" fillId="0" borderId="22" xfId="0" applyBorder="1"/>
    <xf numFmtId="9" fontId="0" fillId="0" borderId="25" xfId="0" applyNumberFormat="1" applyBorder="1"/>
    <xf numFmtId="0" fontId="0" fillId="0" borderId="26" xfId="0" applyBorder="1" applyAlignment="1">
      <alignment horizontal="center" vertical="center"/>
    </xf>
    <xf numFmtId="0" fontId="0" fillId="0" borderId="21" xfId="0" applyBorder="1"/>
    <xf numFmtId="0" fontId="6" fillId="3" borderId="25" xfId="0" applyFont="1" applyFill="1" applyBorder="1" applyAlignment="1">
      <alignment horizontal="center" vertical="center" wrapText="1"/>
    </xf>
    <xf numFmtId="0" fontId="0" fillId="0" borderId="24" xfId="0" applyBorder="1" applyAlignment="1">
      <alignment horizontal="center" vertical="center"/>
    </xf>
    <xf numFmtId="164" fontId="0" fillId="0" borderId="24" xfId="0" applyNumberFormat="1" applyBorder="1" applyAlignment="1">
      <alignment horizontal="center"/>
    </xf>
    <xf numFmtId="0" fontId="0" fillId="0" borderId="26" xfId="0" applyBorder="1"/>
    <xf numFmtId="0" fontId="0" fillId="0" borderId="26" xfId="0" applyBorder="1" applyAlignment="1">
      <alignment wrapText="1"/>
    </xf>
    <xf numFmtId="0" fontId="6" fillId="7" borderId="14" xfId="0" applyFont="1" applyFill="1" applyBorder="1"/>
    <xf numFmtId="0" fontId="0" fillId="0" borderId="24" xfId="0" applyBorder="1" applyAlignment="1">
      <alignment wrapText="1"/>
    </xf>
    <xf numFmtId="0" fontId="0" fillId="4" borderId="0" xfId="0" applyFill="1" applyAlignment="1">
      <alignment horizontal="center" vertical="center"/>
    </xf>
    <xf numFmtId="1" fontId="0" fillId="4" borderId="0" xfId="0" applyNumberFormat="1" applyFill="1" applyAlignment="1">
      <alignment horizontal="center" vertical="center"/>
    </xf>
    <xf numFmtId="1" fontId="0" fillId="7" borderId="0" xfId="0" applyNumberFormat="1" applyFill="1" applyAlignment="1">
      <alignment horizontal="center" vertical="center"/>
    </xf>
    <xf numFmtId="0" fontId="0" fillId="11" borderId="27" xfId="0" applyFill="1" applyBorder="1" applyAlignment="1">
      <alignment horizontal="center" vertical="center"/>
    </xf>
    <xf numFmtId="0" fontId="0" fillId="11" borderId="28" xfId="0" applyFill="1" applyBorder="1" applyAlignment="1">
      <alignment horizontal="center" vertical="center"/>
    </xf>
    <xf numFmtId="1" fontId="0" fillId="11" borderId="28" xfId="0" applyNumberFormat="1" applyFill="1" applyBorder="1" applyAlignment="1">
      <alignment horizontal="center" vertical="center"/>
    </xf>
    <xf numFmtId="2" fontId="7" fillId="0" borderId="5" xfId="0" applyNumberFormat="1" applyFont="1" applyBorder="1"/>
    <xf numFmtId="0" fontId="6" fillId="7" borderId="20" xfId="0" applyFont="1" applyFill="1" applyBorder="1"/>
    <xf numFmtId="9" fontId="20" fillId="0" borderId="16" xfId="2" applyNumberFormat="1" applyFont="1" applyBorder="1" applyAlignment="1">
      <alignment horizontal="right"/>
    </xf>
    <xf numFmtId="0" fontId="4" fillId="0" borderId="16" xfId="0" applyFont="1" applyBorder="1" applyAlignment="1">
      <alignment horizontal="right"/>
    </xf>
    <xf numFmtId="0" fontId="3" fillId="0" borderId="0" xfId="2" applyBorder="1" applyAlignment="1">
      <alignment wrapText="1"/>
    </xf>
    <xf numFmtId="0" fontId="0" fillId="0" borderId="0" xfId="0" applyAlignment="1">
      <alignment vertical="center"/>
    </xf>
    <xf numFmtId="0" fontId="7" fillId="7" borderId="22" xfId="0" applyFont="1" applyFill="1" applyBorder="1"/>
    <xf numFmtId="0" fontId="7" fillId="7" borderId="7" xfId="0" applyFont="1" applyFill="1" applyBorder="1"/>
    <xf numFmtId="164" fontId="0" fillId="0" borderId="3" xfId="0" applyNumberFormat="1" applyBorder="1" applyAlignment="1">
      <alignment horizontal="center" vertical="center"/>
    </xf>
    <xf numFmtId="164" fontId="0" fillId="0" borderId="24" xfId="0" applyNumberFormat="1" applyBorder="1" applyAlignment="1">
      <alignment horizontal="center" vertical="center"/>
    </xf>
    <xf numFmtId="1" fontId="4" fillId="0" borderId="22" xfId="0" applyNumberFormat="1" applyFont="1" applyBorder="1"/>
    <xf numFmtId="1" fontId="12" fillId="0" borderId="16" xfId="2" applyNumberFormat="1" applyFont="1" applyBorder="1" applyAlignment="1">
      <alignment horizontal="right"/>
    </xf>
    <xf numFmtId="1" fontId="0" fillId="0" borderId="16" xfId="0" applyNumberFormat="1" applyBorder="1" applyAlignment="1">
      <alignment horizontal="right"/>
    </xf>
    <xf numFmtId="1" fontId="0" fillId="0" borderId="16" xfId="0" applyNumberFormat="1" applyBorder="1"/>
    <xf numFmtId="1" fontId="0" fillId="0" borderId="22" xfId="0" applyNumberFormat="1" applyBorder="1"/>
    <xf numFmtId="1" fontId="0" fillId="0" borderId="22" xfId="1" applyNumberFormat="1" applyFont="1" applyBorder="1" applyAlignment="1">
      <alignment horizontal="right" vertical="center"/>
    </xf>
    <xf numFmtId="9" fontId="0" fillId="0" borderId="33" xfId="1" applyFont="1" applyBorder="1" applyAlignment="1">
      <alignment horizontal="right" vertical="center"/>
    </xf>
    <xf numFmtId="0" fontId="0" fillId="9" borderId="0" xfId="0" applyFill="1" applyAlignment="1">
      <alignment vertical="top"/>
    </xf>
    <xf numFmtId="0" fontId="0" fillId="0" borderId="0" xfId="0" applyAlignment="1">
      <alignment vertical="top"/>
    </xf>
    <xf numFmtId="0" fontId="16" fillId="9" borderId="1" xfId="0" applyFont="1" applyFill="1" applyBorder="1" applyAlignment="1">
      <alignment horizontal="center" vertical="top"/>
    </xf>
    <xf numFmtId="0" fontId="2" fillId="11" borderId="0" xfId="4" applyFont="1" applyFill="1" applyBorder="1" applyAlignment="1">
      <alignment vertical="top"/>
    </xf>
    <xf numFmtId="0" fontId="0" fillId="11" borderId="0" xfId="0" applyFill="1" applyAlignment="1">
      <alignment vertical="top" wrapText="1"/>
    </xf>
    <xf numFmtId="0" fontId="18" fillId="11" borderId="0" xfId="0" applyFont="1" applyFill="1" applyAlignment="1">
      <alignment vertical="top" wrapText="1"/>
    </xf>
    <xf numFmtId="0" fontId="0" fillId="9" borderId="0" xfId="0" applyFill="1" applyAlignment="1">
      <alignment vertical="top" wrapText="1"/>
    </xf>
    <xf numFmtId="0" fontId="18" fillId="9" borderId="0" xfId="0" applyFont="1" applyFill="1" applyAlignment="1">
      <alignment vertical="top" wrapText="1"/>
    </xf>
    <xf numFmtId="0" fontId="0" fillId="11" borderId="0" xfId="0" applyFill="1" applyAlignment="1">
      <alignment vertical="top"/>
    </xf>
    <xf numFmtId="0" fontId="4" fillId="11" borderId="0" xfId="0" applyFont="1" applyFill="1" applyAlignment="1">
      <alignment vertical="top"/>
    </xf>
    <xf numFmtId="0" fontId="0" fillId="11" borderId="0" xfId="4" applyFont="1" applyFill="1" applyBorder="1" applyAlignment="1">
      <alignment vertical="top"/>
    </xf>
    <xf numFmtId="0" fontId="4" fillId="9" borderId="0" xfId="0" applyFont="1" applyFill="1" applyAlignment="1">
      <alignment vertical="top"/>
    </xf>
    <xf numFmtId="0" fontId="4" fillId="11" borderId="0" xfId="0" applyFont="1" applyFill="1" applyAlignment="1">
      <alignment vertical="top" wrapText="1"/>
    </xf>
    <xf numFmtId="164" fontId="6" fillId="7" borderId="0" xfId="0" applyNumberFormat="1" applyFont="1" applyFill="1" applyAlignment="1">
      <alignment horizontal="center" vertical="center"/>
    </xf>
    <xf numFmtId="9" fontId="0" fillId="0" borderId="24" xfId="1" applyFont="1" applyBorder="1" applyAlignment="1">
      <alignment horizontal="center" vertical="center"/>
    </xf>
    <xf numFmtId="164" fontId="6" fillId="7" borderId="24" xfId="0" applyNumberFormat="1" applyFont="1" applyFill="1" applyBorder="1" applyAlignment="1">
      <alignment horizontal="center" vertical="center"/>
    </xf>
    <xf numFmtId="9" fontId="0" fillId="0" borderId="26" xfId="1" applyFont="1" applyBorder="1" applyAlignment="1">
      <alignment horizontal="center" vertical="center"/>
    </xf>
    <xf numFmtId="164" fontId="6" fillId="7" borderId="26" xfId="0" applyNumberFormat="1" applyFont="1" applyFill="1" applyBorder="1" applyAlignment="1">
      <alignment horizontal="center" vertical="center"/>
    </xf>
    <xf numFmtId="164" fontId="4" fillId="0" borderId="26" xfId="0" applyNumberFormat="1" applyFont="1" applyBorder="1" applyAlignment="1">
      <alignment horizontal="center" vertical="center"/>
    </xf>
    <xf numFmtId="164" fontId="0" fillId="0" borderId="26" xfId="0" applyNumberFormat="1" applyBorder="1" applyAlignment="1">
      <alignment horizontal="center" vertical="center"/>
    </xf>
    <xf numFmtId="0" fontId="6" fillId="8" borderId="0" xfId="0" applyFont="1" applyFill="1" applyAlignment="1">
      <alignment horizontal="center" vertical="center" wrapText="1"/>
    </xf>
    <xf numFmtId="0" fontId="6" fillId="8" borderId="0" xfId="0" applyFont="1" applyFill="1" applyAlignment="1">
      <alignment horizontal="center" vertical="center"/>
    </xf>
    <xf numFmtId="164" fontId="6" fillId="7" borderId="0" xfId="0" applyNumberFormat="1" applyFont="1" applyFill="1" applyAlignment="1">
      <alignment horizontal="center"/>
    </xf>
    <xf numFmtId="9" fontId="0" fillId="0" borderId="24" xfId="0" applyNumberFormat="1" applyBorder="1" applyAlignment="1">
      <alignment horizontal="center"/>
    </xf>
    <xf numFmtId="164" fontId="6" fillId="7" borderId="24" xfId="0" applyNumberFormat="1" applyFont="1" applyFill="1" applyBorder="1" applyAlignment="1">
      <alignment horizontal="center"/>
    </xf>
    <xf numFmtId="9" fontId="0" fillId="0" borderId="26" xfId="0" applyNumberFormat="1" applyBorder="1" applyAlignment="1">
      <alignment horizontal="center"/>
    </xf>
    <xf numFmtId="164" fontId="6" fillId="7" borderId="26" xfId="0" applyNumberFormat="1" applyFont="1" applyFill="1" applyBorder="1" applyAlignment="1">
      <alignment horizontal="center"/>
    </xf>
    <xf numFmtId="2" fontId="6" fillId="0" borderId="0" xfId="0" applyNumberFormat="1" applyFont="1" applyAlignment="1">
      <alignment horizontal="center"/>
    </xf>
    <xf numFmtId="164" fontId="0" fillId="0" borderId="0" xfId="0" applyNumberFormat="1"/>
    <xf numFmtId="0" fontId="6" fillId="8" borderId="35" xfId="4" applyFont="1" applyFill="1" applyBorder="1" applyAlignment="1">
      <alignment wrapText="1"/>
    </xf>
    <xf numFmtId="1" fontId="6" fillId="3" borderId="3" xfId="0" applyNumberFormat="1" applyFont="1" applyFill="1" applyBorder="1" applyAlignment="1">
      <alignment horizontal="center"/>
    </xf>
    <xf numFmtId="164" fontId="0" fillId="0" borderId="3" xfId="0" applyNumberFormat="1" applyBorder="1" applyAlignment="1">
      <alignment horizontal="center"/>
    </xf>
    <xf numFmtId="164" fontId="0" fillId="0" borderId="5" xfId="0" applyNumberFormat="1" applyBorder="1" applyAlignment="1">
      <alignment horizontal="center"/>
    </xf>
    <xf numFmtId="2" fontId="10" fillId="0" borderId="0" xfId="0" applyNumberFormat="1" applyFont="1" applyAlignment="1">
      <alignment horizontal="left"/>
    </xf>
    <xf numFmtId="2" fontId="6" fillId="3" borderId="3" xfId="0" applyNumberFormat="1" applyFont="1" applyFill="1" applyBorder="1" applyAlignment="1">
      <alignment horizontal="left"/>
    </xf>
    <xf numFmtId="2" fontId="6" fillId="8" borderId="3" xfId="0" applyNumberFormat="1" applyFont="1" applyFill="1" applyBorder="1" applyAlignment="1">
      <alignment horizontal="left"/>
    </xf>
    <xf numFmtId="2" fontId="6" fillId="3" borderId="8" xfId="0" applyNumberFormat="1" applyFont="1" applyFill="1" applyBorder="1" applyAlignment="1">
      <alignment horizontal="left"/>
    </xf>
    <xf numFmtId="164" fontId="4" fillId="0" borderId="24" xfId="0" applyNumberFormat="1" applyFont="1" applyBorder="1" applyAlignment="1">
      <alignment horizontal="left"/>
    </xf>
    <xf numFmtId="1" fontId="6" fillId="3" borderId="3" xfId="0" applyNumberFormat="1" applyFont="1" applyFill="1" applyBorder="1" applyAlignment="1">
      <alignment horizontal="left"/>
    </xf>
    <xf numFmtId="1" fontId="6" fillId="8" borderId="3" xfId="0" applyNumberFormat="1" applyFont="1" applyFill="1" applyBorder="1" applyAlignment="1">
      <alignment horizontal="left"/>
    </xf>
    <xf numFmtId="1" fontId="6" fillId="3" borderId="8" xfId="0" applyNumberFormat="1" applyFont="1" applyFill="1" applyBorder="1" applyAlignment="1">
      <alignment horizontal="left"/>
    </xf>
    <xf numFmtId="164" fontId="0" fillId="0" borderId="24" xfId="0" applyNumberFormat="1" applyBorder="1" applyAlignment="1">
      <alignment horizontal="left"/>
    </xf>
    <xf numFmtId="0" fontId="5" fillId="0" borderId="0" xfId="4" applyBorder="1" applyAlignment="1">
      <alignment horizontal="left"/>
    </xf>
    <xf numFmtId="0" fontId="5" fillId="0" borderId="0" xfId="4" applyFill="1" applyBorder="1" applyAlignment="1">
      <alignment horizontal="left"/>
    </xf>
    <xf numFmtId="0" fontId="11" fillId="0" borderId="0" xfId="2" applyFont="1" applyBorder="1" applyAlignment="1">
      <alignment horizontal="left"/>
    </xf>
    <xf numFmtId="164" fontId="0" fillId="0" borderId="5" xfId="0" applyNumberFormat="1" applyBorder="1" applyAlignment="1">
      <alignment horizontal="left"/>
    </xf>
    <xf numFmtId="0" fontId="11" fillId="0" borderId="0" xfId="2" applyFont="1" applyAlignment="1">
      <alignment horizontal="left"/>
    </xf>
    <xf numFmtId="11" fontId="0" fillId="0" borderId="0" xfId="0" applyNumberFormat="1" applyAlignment="1">
      <alignment horizontal="left"/>
    </xf>
    <xf numFmtId="0" fontId="6" fillId="8" borderId="36" xfId="0" applyFont="1" applyFill="1" applyBorder="1" applyAlignment="1">
      <alignment horizontal="center" wrapText="1"/>
    </xf>
    <xf numFmtId="164" fontId="0" fillId="0" borderId="26" xfId="0" applyNumberFormat="1" applyBorder="1" applyAlignment="1">
      <alignment horizontal="center"/>
    </xf>
    <xf numFmtId="0" fontId="6" fillId="8" borderId="25" xfId="0" applyFont="1" applyFill="1" applyBorder="1" applyAlignment="1">
      <alignment horizontal="center" vertical="center"/>
    </xf>
    <xf numFmtId="0" fontId="0" fillId="0" borderId="0" xfId="0" applyAlignment="1">
      <alignment horizontal="left" vertical="center"/>
    </xf>
    <xf numFmtId="164" fontId="4" fillId="0" borderId="26" xfId="0" applyNumberFormat="1" applyFont="1" applyBorder="1" applyAlignment="1">
      <alignment horizontal="center"/>
    </xf>
    <xf numFmtId="0" fontId="6" fillId="8" borderId="37" xfId="0" applyFont="1" applyFill="1" applyBorder="1" applyAlignment="1">
      <alignment horizontal="center" vertical="center"/>
    </xf>
    <xf numFmtId="0" fontId="6" fillId="3" borderId="37" xfId="0" applyFont="1" applyFill="1" applyBorder="1" applyAlignment="1">
      <alignment horizontal="center" vertical="center" wrapText="1"/>
    </xf>
    <xf numFmtId="0" fontId="0" fillId="8" borderId="0" xfId="0" applyFill="1" applyAlignment="1">
      <alignment wrapText="1"/>
    </xf>
    <xf numFmtId="2" fontId="0" fillId="0" borderId="26" xfId="0" applyNumberFormat="1" applyBorder="1" applyAlignment="1">
      <alignment wrapText="1"/>
    </xf>
    <xf numFmtId="2" fontId="7" fillId="0" borderId="0" xfId="0" applyNumberFormat="1" applyFont="1" applyAlignment="1">
      <alignment horizontal="center"/>
    </xf>
    <xf numFmtId="0" fontId="10" fillId="0" borderId="0" xfId="0" applyFont="1" applyAlignment="1">
      <alignment horizontal="center"/>
    </xf>
    <xf numFmtId="1" fontId="6" fillId="3" borderId="4" xfId="0" applyNumberFormat="1" applyFont="1" applyFill="1" applyBorder="1" applyAlignment="1">
      <alignment horizontal="center"/>
    </xf>
    <xf numFmtId="166" fontId="0" fillId="0" borderId="0" xfId="0" applyNumberFormat="1" applyAlignment="1">
      <alignment horizontal="center"/>
    </xf>
    <xf numFmtId="1" fontId="0" fillId="0" borderId="0" xfId="0" applyNumberFormat="1" applyAlignment="1">
      <alignment horizontal="center"/>
    </xf>
    <xf numFmtId="2" fontId="0" fillId="0" borderId="26" xfId="0" applyNumberFormat="1" applyBorder="1" applyAlignment="1">
      <alignment vertical="center" wrapText="1"/>
    </xf>
    <xf numFmtId="0" fontId="19" fillId="0" borderId="0" xfId="0" applyFont="1" applyAlignment="1">
      <alignment horizontal="right" wrapText="1"/>
    </xf>
    <xf numFmtId="167" fontId="0" fillId="0" borderId="16" xfId="3" applyNumberFormat="1" applyFont="1" applyFill="1" applyBorder="1" applyAlignment="1">
      <alignment horizontal="right"/>
    </xf>
    <xf numFmtId="9" fontId="0" fillId="0" borderId="16" xfId="1" applyFont="1" applyFill="1" applyBorder="1" applyAlignment="1">
      <alignment horizontal="right"/>
    </xf>
    <xf numFmtId="1" fontId="0" fillId="0" borderId="16" xfId="1" applyNumberFormat="1" applyFont="1" applyFill="1" applyBorder="1" applyAlignment="1">
      <alignment horizontal="right"/>
    </xf>
    <xf numFmtId="0" fontId="0" fillId="8" borderId="0" xfId="0" applyFill="1" applyAlignment="1">
      <alignment horizontal="right"/>
    </xf>
    <xf numFmtId="0" fontId="0" fillId="0" borderId="26" xfId="0" applyBorder="1" applyAlignment="1">
      <alignment horizontal="right"/>
    </xf>
    <xf numFmtId="164" fontId="0" fillId="0" borderId="24" xfId="0" applyNumberFormat="1" applyBorder="1" applyAlignment="1">
      <alignment horizontal="right"/>
    </xf>
    <xf numFmtId="0" fontId="23" fillId="0" borderId="0" xfId="0" applyFont="1" applyAlignment="1">
      <alignment horizontal="right" wrapText="1"/>
    </xf>
    <xf numFmtId="9" fontId="0" fillId="0" borderId="16" xfId="0" applyNumberFormat="1" applyBorder="1" applyAlignment="1">
      <alignment horizontal="right"/>
    </xf>
    <xf numFmtId="0" fontId="0" fillId="0" borderId="16" xfId="0" applyBorder="1" applyAlignment="1">
      <alignment horizontal="right"/>
    </xf>
    <xf numFmtId="0" fontId="0" fillId="0" borderId="0" xfId="0" applyAlignment="1">
      <alignment horizontal="right"/>
    </xf>
    <xf numFmtId="0" fontId="6" fillId="8" borderId="25" xfId="0" applyFont="1" applyFill="1" applyBorder="1" applyAlignment="1">
      <alignment vertical="center" wrapText="1"/>
    </xf>
    <xf numFmtId="0" fontId="6" fillId="8" borderId="34"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6" fillId="3" borderId="34" xfId="0" applyFont="1" applyFill="1" applyBorder="1" applyAlignment="1">
      <alignment horizontal="center" vertical="center" wrapText="1"/>
    </xf>
    <xf numFmtId="164" fontId="6" fillId="7" borderId="0" xfId="0" applyNumberFormat="1" applyFont="1" applyFill="1" applyAlignment="1">
      <alignment horizontal="right"/>
    </xf>
    <xf numFmtId="164" fontId="6" fillId="7" borderId="24" xfId="0" applyNumberFormat="1" applyFont="1" applyFill="1" applyBorder="1" applyAlignment="1">
      <alignment horizontal="right"/>
    </xf>
    <xf numFmtId="0" fontId="6" fillId="7" borderId="24" xfId="0" applyFont="1" applyFill="1" applyBorder="1"/>
    <xf numFmtId="0" fontId="6" fillId="7" borderId="26" xfId="0" applyFont="1" applyFill="1" applyBorder="1" applyAlignment="1">
      <alignment wrapText="1"/>
    </xf>
    <xf numFmtId="164" fontId="6" fillId="7" borderId="26" xfId="0" applyNumberFormat="1" applyFont="1" applyFill="1" applyBorder="1" applyAlignment="1">
      <alignment horizontal="right"/>
    </xf>
    <xf numFmtId="164" fontId="0" fillId="0" borderId="0" xfId="0" applyNumberFormat="1" applyAlignment="1">
      <alignment horizontal="right"/>
    </xf>
    <xf numFmtId="164" fontId="0" fillId="0" borderId="21" xfId="0" applyNumberFormat="1" applyBorder="1" applyAlignment="1">
      <alignment horizontal="center"/>
    </xf>
    <xf numFmtId="0" fontId="0" fillId="0" borderId="26" xfId="0" applyBorder="1" applyAlignment="1">
      <alignment horizontal="right" vertical="center"/>
    </xf>
    <xf numFmtId="164" fontId="0" fillId="0" borderId="22" xfId="0" applyNumberFormat="1" applyBorder="1"/>
    <xf numFmtId="2" fontId="4" fillId="0" borderId="0" xfId="0" applyNumberFormat="1" applyFont="1"/>
    <xf numFmtId="2" fontId="0" fillId="0" borderId="38" xfId="0" applyNumberFormat="1" applyBorder="1"/>
    <xf numFmtId="9" fontId="0" fillId="0" borderId="38" xfId="0" applyNumberFormat="1" applyBorder="1"/>
    <xf numFmtId="2" fontId="4" fillId="0" borderId="38" xfId="0" applyNumberFormat="1" applyFont="1" applyBorder="1"/>
    <xf numFmtId="2" fontId="4" fillId="0" borderId="39" xfId="0" applyNumberFormat="1" applyFont="1" applyBorder="1"/>
    <xf numFmtId="164" fontId="6" fillId="0" borderId="0" xfId="0" applyNumberFormat="1" applyFont="1"/>
    <xf numFmtId="0" fontId="0" fillId="0" borderId="0" xfId="0" applyAlignment="1">
      <alignment horizontal="center" wrapText="1"/>
    </xf>
    <xf numFmtId="0" fontId="0" fillId="0" borderId="0" xfId="0" applyAlignment="1">
      <alignment horizontal="left" vertical="center" wrapText="1"/>
    </xf>
    <xf numFmtId="0" fontId="3" fillId="0" borderId="0" xfId="2" applyBorder="1" applyAlignment="1">
      <alignment vertical="center" wrapText="1"/>
    </xf>
    <xf numFmtId="0" fontId="0" fillId="0" borderId="0" xfId="0" applyAlignment="1">
      <alignment vertical="center" wrapText="1"/>
    </xf>
    <xf numFmtId="10" fontId="0" fillId="0" borderId="0" xfId="1" applyNumberFormat="1" applyFont="1" applyBorder="1" applyAlignment="1">
      <alignment horizontal="left" vertical="center"/>
    </xf>
    <xf numFmtId="0" fontId="3" fillId="0" borderId="0" xfId="2" applyBorder="1"/>
    <xf numFmtId="0" fontId="1" fillId="0" borderId="21" xfId="0" applyFont="1" applyBorder="1" applyAlignment="1">
      <alignment horizontal="left" vertical="center" wrapText="1"/>
    </xf>
    <xf numFmtId="0" fontId="1" fillId="0" borderId="21" xfId="0" applyFont="1" applyBorder="1" applyAlignment="1">
      <alignment vertical="center" wrapText="1"/>
    </xf>
    <xf numFmtId="0" fontId="0" fillId="0" borderId="21" xfId="0" applyBorder="1" applyAlignment="1">
      <alignment horizontal="left" vertical="center" wrapText="1"/>
    </xf>
    <xf numFmtId="0" fontId="1" fillId="0" borderId="21" xfId="0" applyFont="1" applyBorder="1" applyAlignment="1">
      <alignment horizontal="center" vertical="center" wrapText="1"/>
    </xf>
    <xf numFmtId="2" fontId="0" fillId="0" borderId="0" xfId="0" applyNumberFormat="1" applyAlignment="1">
      <alignment horizontal="center" vertical="center" wrapText="1"/>
    </xf>
    <xf numFmtId="10" fontId="0" fillId="0" borderId="0" xfId="0" applyNumberFormat="1" applyAlignment="1">
      <alignment horizontal="center" vertical="center" wrapText="1"/>
    </xf>
    <xf numFmtId="0" fontId="0" fillId="0" borderId="21" xfId="0" applyBorder="1" applyAlignment="1">
      <alignment horizontal="center" vertical="center" wrapText="1"/>
    </xf>
    <xf numFmtId="10" fontId="0" fillId="0" borderId="0" xfId="0" applyNumberFormat="1" applyAlignment="1">
      <alignment horizontal="center"/>
    </xf>
    <xf numFmtId="0" fontId="1" fillId="0" borderId="21" xfId="0" applyFont="1" applyBorder="1" applyAlignment="1">
      <alignment horizontal="center" vertical="center"/>
    </xf>
    <xf numFmtId="0" fontId="1" fillId="0" borderId="21" xfId="0" applyFont="1" applyBorder="1"/>
    <xf numFmtId="0" fontId="1" fillId="0" borderId="21" xfId="0" applyFont="1" applyBorder="1" applyAlignment="1">
      <alignment horizontal="center"/>
    </xf>
    <xf numFmtId="0" fontId="0" fillId="0" borderId="21" xfId="0" applyBorder="1" applyAlignment="1">
      <alignment horizontal="center" wrapText="1"/>
    </xf>
    <xf numFmtId="2" fontId="0" fillId="0" borderId="0" xfId="0" applyNumberFormat="1" applyAlignment="1">
      <alignment horizontal="center" wrapText="1"/>
    </xf>
    <xf numFmtId="10" fontId="0" fillId="0" borderId="0" xfId="0" applyNumberFormat="1" applyAlignment="1">
      <alignment horizontal="center" wrapText="1"/>
    </xf>
    <xf numFmtId="0" fontId="1" fillId="0" borderId="21" xfId="0" applyFont="1" applyBorder="1" applyAlignment="1">
      <alignment horizontal="center" wrapText="1"/>
    </xf>
    <xf numFmtId="0" fontId="1" fillId="0" borderId="21" xfId="0" applyFont="1" applyBorder="1" applyAlignment="1">
      <alignment horizontal="left"/>
    </xf>
    <xf numFmtId="0" fontId="1" fillId="0" borderId="21" xfId="0" applyFont="1" applyBorder="1" applyAlignment="1">
      <alignment horizontal="left" wrapText="1"/>
    </xf>
    <xf numFmtId="0" fontId="0" fillId="0" borderId="21" xfId="0" applyBorder="1" applyAlignment="1">
      <alignment wrapText="1"/>
    </xf>
    <xf numFmtId="0" fontId="0" fillId="4" borderId="9" xfId="0" applyFill="1" applyBorder="1"/>
    <xf numFmtId="2" fontId="4" fillId="0" borderId="0" xfId="0" applyNumberFormat="1" applyFont="1" applyAlignment="1">
      <alignment horizontal="center" wrapText="1"/>
    </xf>
    <xf numFmtId="9" fontId="0" fillId="0" borderId="0" xfId="1" applyFont="1" applyAlignment="1" applyProtection="1">
      <alignment horizontal="center"/>
    </xf>
    <xf numFmtId="0" fontId="3" fillId="0" borderId="0" xfId="2" applyBorder="1" applyAlignment="1">
      <alignment horizontal="left" vertical="center" wrapText="1"/>
    </xf>
    <xf numFmtId="0" fontId="3" fillId="0" borderId="0" xfId="2" applyFill="1" applyBorder="1" applyAlignment="1">
      <alignment vertical="center" wrapText="1"/>
    </xf>
    <xf numFmtId="0" fontId="3" fillId="0" borderId="0" xfId="2" applyBorder="1" applyAlignment="1">
      <alignment horizontal="left" vertical="center"/>
    </xf>
    <xf numFmtId="0" fontId="3" fillId="0" borderId="21" xfId="2" applyFill="1" applyBorder="1" applyAlignment="1">
      <alignment vertical="center" wrapText="1"/>
    </xf>
    <xf numFmtId="0" fontId="3" fillId="0" borderId="21" xfId="2" applyBorder="1" applyAlignment="1">
      <alignment vertical="center" wrapText="1"/>
    </xf>
    <xf numFmtId="0" fontId="3" fillId="0" borderId="0" xfId="2" applyFill="1" applyAlignment="1">
      <alignment vertical="center" wrapText="1"/>
    </xf>
    <xf numFmtId="0" fontId="3" fillId="0" borderId="21" xfId="2" applyBorder="1" applyAlignment="1">
      <alignment horizontal="left" vertical="center" wrapText="1"/>
    </xf>
    <xf numFmtId="2" fontId="6" fillId="7" borderId="24" xfId="0" applyNumberFormat="1" applyFont="1" applyFill="1" applyBorder="1" applyAlignment="1">
      <alignment horizontal="center"/>
    </xf>
    <xf numFmtId="2" fontId="4" fillId="5" borderId="3" xfId="0" applyNumberFormat="1" applyFont="1" applyFill="1" applyBorder="1" applyAlignment="1">
      <alignment horizontal="center" wrapText="1"/>
    </xf>
    <xf numFmtId="2" fontId="4" fillId="5" borderId="0" xfId="0" applyNumberFormat="1" applyFont="1" applyFill="1" applyAlignment="1">
      <alignment horizontal="center" wrapText="1"/>
    </xf>
    <xf numFmtId="165" fontId="4" fillId="5" borderId="0" xfId="0" applyNumberFormat="1" applyFont="1" applyFill="1" applyAlignment="1">
      <alignment horizontal="center" wrapText="1"/>
    </xf>
    <xf numFmtId="168" fontId="0" fillId="0" borderId="26" xfId="1" applyNumberFormat="1" applyFont="1" applyBorder="1" applyAlignment="1">
      <alignment horizontal="center" vertical="center"/>
    </xf>
    <xf numFmtId="0" fontId="3" fillId="0" borderId="0" xfId="2" applyAlignment="1">
      <alignment wrapText="1"/>
    </xf>
    <xf numFmtId="0" fontId="25" fillId="0" borderId="0" xfId="0" applyFont="1" applyAlignment="1">
      <alignment horizontal="center" wrapText="1"/>
    </xf>
    <xf numFmtId="0" fontId="10" fillId="0" borderId="0" xfId="0" applyFont="1" applyAlignment="1">
      <alignment horizontal="center" vertical="center" wrapText="1"/>
    </xf>
    <xf numFmtId="10" fontId="10" fillId="0" borderId="0" xfId="0" applyNumberFormat="1" applyFont="1" applyAlignment="1">
      <alignment horizontal="center" vertical="center" wrapText="1"/>
    </xf>
    <xf numFmtId="0" fontId="3" fillId="0" borderId="0" xfId="2" applyAlignment="1">
      <alignment horizontal="left" wrapText="1"/>
    </xf>
    <xf numFmtId="0" fontId="4" fillId="0" borderId="21" xfId="0" applyFont="1" applyBorder="1" applyAlignment="1">
      <alignment vertical="center" wrapText="1"/>
    </xf>
    <xf numFmtId="9" fontId="4" fillId="0" borderId="21" xfId="0" applyNumberFormat="1" applyFont="1" applyBorder="1" applyAlignment="1">
      <alignment horizontal="center" vertical="center"/>
    </xf>
    <xf numFmtId="164" fontId="6" fillId="7" borderId="21" xfId="0" applyNumberFormat="1" applyFont="1" applyFill="1" applyBorder="1" applyAlignment="1">
      <alignment horizontal="center" vertical="center"/>
    </xf>
    <xf numFmtId="164" fontId="4" fillId="0" borderId="21" xfId="0" applyNumberFormat="1" applyFont="1" applyBorder="1" applyAlignment="1">
      <alignment horizontal="center" vertical="center"/>
    </xf>
    <xf numFmtId="0" fontId="1" fillId="0" borderId="0" xfId="0" applyFont="1" applyAlignment="1">
      <alignment horizontal="center" wrapText="1"/>
    </xf>
    <xf numFmtId="165" fontId="4" fillId="0" borderId="26" xfId="0" applyNumberFormat="1" applyFont="1" applyBorder="1" applyAlignment="1">
      <alignment horizontal="center" wrapText="1"/>
    </xf>
    <xf numFmtId="0" fontId="4" fillId="11" borderId="41" xfId="0" applyFont="1" applyFill="1" applyBorder="1" applyAlignment="1">
      <alignment vertical="top"/>
    </xf>
    <xf numFmtId="0" fontId="0" fillId="11" borderId="41" xfId="0" applyFill="1" applyBorder="1" applyAlignment="1">
      <alignment vertical="top" wrapText="1"/>
    </xf>
    <xf numFmtId="0" fontId="0" fillId="11" borderId="0" xfId="0" applyFill="1" applyAlignment="1">
      <alignment horizontal="left" vertical="center"/>
    </xf>
    <xf numFmtId="3" fontId="0" fillId="11" borderId="0" xfId="0" applyNumberFormat="1" applyFill="1" applyAlignment="1">
      <alignment horizontal="right" vertical="center"/>
    </xf>
    <xf numFmtId="0" fontId="3" fillId="11" borderId="0" xfId="2" applyFill="1" applyBorder="1" applyAlignment="1">
      <alignment horizontal="left" vertical="center" wrapText="1"/>
    </xf>
    <xf numFmtId="0" fontId="2" fillId="11" borderId="0" xfId="5" applyFill="1" applyAlignment="1">
      <alignment vertical="center" wrapText="1"/>
    </xf>
    <xf numFmtId="0" fontId="2" fillId="11" borderId="0" xfId="5" applyFill="1" applyAlignment="1">
      <alignment vertical="center"/>
    </xf>
    <xf numFmtId="0" fontId="13" fillId="11" borderId="0" xfId="5" applyFont="1" applyFill="1" applyAlignment="1">
      <alignment vertical="center"/>
    </xf>
    <xf numFmtId="9" fontId="0" fillId="11" borderId="0" xfId="0" applyNumberFormat="1" applyFill="1" applyAlignment="1">
      <alignment horizontal="left" vertical="center"/>
    </xf>
    <xf numFmtId="0" fontId="0" fillId="11" borderId="40" xfId="0" applyFill="1" applyBorder="1" applyAlignment="1">
      <alignment horizontal="left" vertical="center" wrapText="1"/>
    </xf>
    <xf numFmtId="0" fontId="0" fillId="11" borderId="40" xfId="0" applyFill="1" applyBorder="1" applyAlignment="1">
      <alignment horizontal="right" vertical="center" wrapText="1"/>
    </xf>
    <xf numFmtId="0" fontId="0" fillId="11" borderId="0" xfId="0" applyFill="1" applyAlignment="1">
      <alignment vertical="center"/>
    </xf>
    <xf numFmtId="0" fontId="0" fillId="11" borderId="17" xfId="0" applyFill="1" applyBorder="1" applyAlignment="1">
      <alignment vertical="center"/>
    </xf>
    <xf numFmtId="0" fontId="0" fillId="11" borderId="40" xfId="0" applyFill="1" applyBorder="1" applyAlignment="1">
      <alignment vertical="center"/>
    </xf>
    <xf numFmtId="0" fontId="0" fillId="11" borderId="40" xfId="0" applyFill="1" applyBorder="1" applyAlignment="1">
      <alignment vertical="center" wrapText="1"/>
    </xf>
    <xf numFmtId="9" fontId="0" fillId="11" borderId="0" xfId="0" applyNumberFormat="1" applyFill="1" applyAlignment="1">
      <alignment vertical="center"/>
    </xf>
    <xf numFmtId="2" fontId="0" fillId="11" borderId="0" xfId="0" applyNumberFormat="1" applyFill="1" applyAlignment="1">
      <alignment vertical="center"/>
    </xf>
    <xf numFmtId="0" fontId="0" fillId="9" borderId="40" xfId="0" applyFill="1" applyBorder="1" applyAlignment="1">
      <alignment vertical="center"/>
    </xf>
    <xf numFmtId="0" fontId="0" fillId="9" borderId="40" xfId="0" applyFill="1" applyBorder="1" applyAlignment="1">
      <alignment vertical="center" wrapText="1"/>
    </xf>
    <xf numFmtId="0" fontId="0" fillId="9" borderId="40" xfId="4" applyFont="1" applyFill="1" applyBorder="1" applyAlignment="1">
      <alignment vertical="center"/>
    </xf>
    <xf numFmtId="0" fontId="0" fillId="9" borderId="0" xfId="0" applyFill="1" applyAlignment="1">
      <alignment vertical="center"/>
    </xf>
    <xf numFmtId="9" fontId="0" fillId="9" borderId="0" xfId="0" applyNumberFormat="1" applyFill="1" applyAlignment="1">
      <alignment vertical="center"/>
    </xf>
    <xf numFmtId="0" fontId="10" fillId="9" borderId="0" xfId="0" applyFont="1" applyFill="1" applyAlignment="1">
      <alignment vertical="center"/>
    </xf>
    <xf numFmtId="0" fontId="2" fillId="11" borderId="40" xfId="5" applyFill="1" applyBorder="1" applyAlignment="1">
      <alignment vertical="center" wrapText="1"/>
    </xf>
    <xf numFmtId="9" fontId="2" fillId="11" borderId="0" xfId="5" applyNumberFormat="1" applyFill="1" applyAlignment="1">
      <alignment vertical="center"/>
    </xf>
    <xf numFmtId="10" fontId="0" fillId="9" borderId="0" xfId="0" applyNumberFormat="1" applyFill="1" applyAlignment="1">
      <alignment vertical="center"/>
    </xf>
    <xf numFmtId="0" fontId="0" fillId="11" borderId="17" xfId="0" applyFill="1" applyBorder="1" applyAlignment="1">
      <alignment vertical="center" wrapText="1"/>
    </xf>
    <xf numFmtId="0" fontId="1" fillId="11" borderId="17" xfId="4" applyFont="1" applyFill="1" applyBorder="1" applyAlignment="1">
      <alignment vertical="center"/>
    </xf>
    <xf numFmtId="0" fontId="0" fillId="11" borderId="17" xfId="4" applyFont="1" applyFill="1" applyBorder="1" applyAlignment="1">
      <alignment vertical="center"/>
    </xf>
    <xf numFmtId="0" fontId="0" fillId="11" borderId="42" xfId="0" applyFill="1" applyBorder="1" applyAlignment="1">
      <alignment vertical="center"/>
    </xf>
    <xf numFmtId="9" fontId="0" fillId="11" borderId="42" xfId="0" applyNumberFormat="1" applyFill="1" applyBorder="1" applyAlignment="1">
      <alignment vertical="center"/>
    </xf>
    <xf numFmtId="165" fontId="0" fillId="11" borderId="42" xfId="0" applyNumberFormat="1" applyFill="1" applyBorder="1" applyAlignment="1">
      <alignment vertical="center" wrapText="1"/>
    </xf>
    <xf numFmtId="2" fontId="0" fillId="11" borderId="42" xfId="0" applyNumberFormat="1" applyFill="1" applyBorder="1" applyAlignment="1">
      <alignment vertical="center" wrapText="1"/>
    </xf>
    <xf numFmtId="0" fontId="1" fillId="11" borderId="42" xfId="4" applyFont="1" applyFill="1" applyBorder="1" applyAlignment="1">
      <alignment vertical="center"/>
    </xf>
    <xf numFmtId="0" fontId="1" fillId="11" borderId="40" xfId="4" applyFont="1" applyFill="1" applyBorder="1" applyAlignment="1">
      <alignment vertical="center"/>
    </xf>
    <xf numFmtId="0" fontId="0" fillId="11" borderId="40" xfId="4" applyFont="1" applyFill="1" applyBorder="1" applyAlignment="1">
      <alignment vertical="center"/>
    </xf>
    <xf numFmtId="10" fontId="0" fillId="11" borderId="0" xfId="0" applyNumberFormat="1" applyFill="1" applyAlignment="1">
      <alignment vertical="center"/>
    </xf>
    <xf numFmtId="0" fontId="0" fillId="11" borderId="41" xfId="0" applyFill="1" applyBorder="1" applyAlignment="1">
      <alignment vertical="center"/>
    </xf>
    <xf numFmtId="9" fontId="0" fillId="11" borderId="41" xfId="0" applyNumberFormat="1" applyFill="1" applyBorder="1" applyAlignment="1">
      <alignment vertical="center"/>
    </xf>
    <xf numFmtId="165" fontId="0" fillId="11" borderId="41" xfId="0" applyNumberFormat="1" applyFill="1" applyBorder="1" applyAlignment="1">
      <alignment vertical="center"/>
    </xf>
    <xf numFmtId="2" fontId="0" fillId="11" borderId="41" xfId="0" applyNumberFormat="1" applyFill="1" applyBorder="1" applyAlignment="1">
      <alignment vertical="center"/>
    </xf>
    <xf numFmtId="0" fontId="0" fillId="0" borderId="41" xfId="0" applyBorder="1"/>
    <xf numFmtId="0" fontId="27" fillId="0" borderId="43" xfId="0" applyFont="1" applyBorder="1" applyAlignment="1">
      <alignment horizontal="left" vertical="center"/>
    </xf>
    <xf numFmtId="164" fontId="28" fillId="0" borderId="43" xfId="0" applyNumberFormat="1" applyFont="1" applyBorder="1" applyAlignment="1">
      <alignment horizontal="center" vertical="center" wrapText="1"/>
    </xf>
    <xf numFmtId="0" fontId="27" fillId="18" borderId="43" xfId="0" applyFont="1" applyFill="1" applyBorder="1" applyAlignment="1">
      <alignment horizontal="center" vertical="center" wrapText="1"/>
    </xf>
    <xf numFmtId="0" fontId="27" fillId="0" borderId="43" xfId="0" applyFont="1" applyBorder="1" applyAlignment="1">
      <alignment horizontal="center" vertical="center"/>
    </xf>
    <xf numFmtId="2" fontId="27" fillId="0" borderId="43" xfId="1" applyNumberFormat="1" applyFont="1" applyFill="1" applyBorder="1" applyAlignment="1" applyProtection="1">
      <alignment horizontal="center" vertical="center"/>
    </xf>
    <xf numFmtId="9" fontId="27" fillId="0" borderId="43" xfId="1" applyFont="1" applyFill="1" applyBorder="1" applyAlignment="1" applyProtection="1">
      <alignment horizontal="center" vertical="center"/>
    </xf>
    <xf numFmtId="0" fontId="27" fillId="0" borderId="43" xfId="0" applyFont="1" applyBorder="1" applyAlignment="1">
      <alignment vertical="center"/>
    </xf>
    <xf numFmtId="169" fontId="29" fillId="20" borderId="43" xfId="0" applyNumberFormat="1" applyFont="1" applyFill="1" applyBorder="1" applyAlignment="1">
      <alignment horizontal="center" vertical="center"/>
      <extLst>
        <ext xmlns:xfpb="http://schemas.microsoft.com/office/spreadsheetml/2022/featurepropertybag" uri="{C7286773-470A-42A8-94C5-96B5CB345126}">
          <xfpb:xfComplement i="0"/>
        </ext>
      </extLst>
    </xf>
    <xf numFmtId="169" fontId="29" fillId="21" borderId="43" xfId="0" applyNumberFormat="1" applyFont="1" applyFill="1" applyBorder="1" applyAlignment="1">
      <alignment horizontal="center" vertical="center"/>
      <extLst>
        <ext xmlns:xfpb="http://schemas.microsoft.com/office/spreadsheetml/2022/featurepropertybag" uri="{C7286773-470A-42A8-94C5-96B5CB345126}">
          <xfpb:xfComplement i="0"/>
        </ext>
      </extLst>
    </xf>
    <xf numFmtId="2" fontId="4" fillId="0" borderId="0" xfId="0" applyNumberFormat="1" applyFont="1" applyAlignment="1">
      <alignment horizontal="center" vertical="center" wrapText="1"/>
    </xf>
    <xf numFmtId="0" fontId="24" fillId="0" borderId="0" xfId="0" applyFont="1" applyAlignment="1">
      <alignment horizontal="center" vertical="center" wrapText="1"/>
    </xf>
    <xf numFmtId="2" fontId="24" fillId="0" borderId="0" xfId="0" applyNumberFormat="1" applyFont="1" applyAlignment="1">
      <alignment horizontal="center" vertical="center" wrapText="1"/>
    </xf>
    <xf numFmtId="2" fontId="4" fillId="5" borderId="0" xfId="0" applyNumberFormat="1" applyFont="1" applyFill="1" applyAlignment="1">
      <alignment horizontal="center" vertical="center" wrapText="1"/>
    </xf>
    <xf numFmtId="0" fontId="30" fillId="20" borderId="43" xfId="0" applyFont="1" applyFill="1" applyBorder="1" applyAlignment="1">
      <alignment horizontal="center" vertical="center" wrapText="1"/>
    </xf>
    <xf numFmtId="2" fontId="31" fillId="21" borderId="43" xfId="0" applyNumberFormat="1" applyFont="1" applyFill="1" applyBorder="1" applyAlignment="1">
      <alignment horizontal="center" vertical="center" wrapText="1"/>
    </xf>
    <xf numFmtId="0" fontId="32" fillId="21" borderId="43" xfId="0" applyFont="1" applyFill="1" applyBorder="1" applyAlignment="1">
      <alignment horizontal="center" vertical="center" wrapText="1"/>
    </xf>
    <xf numFmtId="0" fontId="32" fillId="23" borderId="43" xfId="0" applyFont="1" applyFill="1" applyBorder="1" applyAlignment="1">
      <alignment horizontal="center" vertical="center" wrapText="1"/>
    </xf>
    <xf numFmtId="9" fontId="32" fillId="21" borderId="43" xfId="1" applyFont="1" applyFill="1" applyBorder="1" applyAlignment="1" applyProtection="1">
      <alignment horizontal="center" vertical="center" wrapText="1"/>
    </xf>
    <xf numFmtId="0" fontId="32" fillId="22" borderId="43" xfId="0" applyFont="1" applyFill="1" applyBorder="1" applyAlignment="1">
      <alignment horizontal="center" vertical="center" wrapText="1"/>
    </xf>
    <xf numFmtId="9" fontId="33" fillId="21" borderId="43" xfId="1" applyFont="1" applyFill="1" applyBorder="1" applyAlignment="1" applyProtection="1">
      <alignment horizontal="center" vertical="center" wrapText="1"/>
    </xf>
    <xf numFmtId="0" fontId="33" fillId="21" borderId="43" xfId="0" applyFont="1" applyFill="1" applyBorder="1" applyAlignment="1">
      <alignment horizontal="center" vertical="center" wrapText="1"/>
    </xf>
    <xf numFmtId="2" fontId="31" fillId="22" borderId="43" xfId="0" applyNumberFormat="1" applyFont="1" applyFill="1" applyBorder="1" applyAlignment="1">
      <alignment horizontal="center" vertical="center" wrapText="1"/>
    </xf>
    <xf numFmtId="2" fontId="31" fillId="23" borderId="43" xfId="0" applyNumberFormat="1" applyFont="1" applyFill="1" applyBorder="1" applyAlignment="1">
      <alignment horizontal="center" vertical="center" wrapText="1"/>
    </xf>
    <xf numFmtId="9" fontId="32" fillId="21" borderId="43" xfId="0" applyNumberFormat="1" applyFont="1" applyFill="1" applyBorder="1" applyAlignment="1">
      <alignment horizontal="center" vertical="center" wrapText="1"/>
    </xf>
    <xf numFmtId="165" fontId="31" fillId="23" borderId="43" xfId="0" applyNumberFormat="1" applyFont="1" applyFill="1" applyBorder="1" applyAlignment="1">
      <alignment horizontal="center" vertical="center" wrapText="1"/>
    </xf>
    <xf numFmtId="0" fontId="3" fillId="11" borderId="0" xfId="2" applyFill="1" applyAlignment="1">
      <alignment horizontal="left" vertical="center" wrapText="1"/>
    </xf>
    <xf numFmtId="0" fontId="3" fillId="0" borderId="0" xfId="2"/>
    <xf numFmtId="0" fontId="13" fillId="0" borderId="0" xfId="2" applyFont="1" applyBorder="1" applyAlignment="1">
      <alignment horizontal="left" vertical="center" wrapText="1"/>
    </xf>
    <xf numFmtId="0" fontId="3" fillId="0" borderId="0" xfId="2" applyAlignment="1">
      <alignment vertical="center"/>
    </xf>
    <xf numFmtId="0" fontId="3" fillId="0" borderId="0" xfId="2" applyAlignment="1">
      <alignment horizontal="left" vertical="center" wrapText="1"/>
    </xf>
    <xf numFmtId="0" fontId="3" fillId="0" borderId="0" xfId="2" applyBorder="1" applyAlignment="1">
      <alignment vertical="center"/>
    </xf>
    <xf numFmtId="0" fontId="3" fillId="0" borderId="0" xfId="2" applyAlignment="1">
      <alignment vertical="center" wrapText="1"/>
    </xf>
    <xf numFmtId="0" fontId="0" fillId="0" borderId="42" xfId="0" applyBorder="1" applyAlignment="1">
      <alignment horizontal="center" wrapText="1"/>
    </xf>
    <xf numFmtId="0" fontId="3" fillId="0" borderId="42" xfId="2" applyBorder="1" applyAlignment="1">
      <alignment wrapText="1"/>
    </xf>
    <xf numFmtId="0" fontId="0" fillId="0" borderId="13" xfId="0" applyBorder="1" applyAlignment="1">
      <alignment horizontal="center" vertical="center"/>
    </xf>
    <xf numFmtId="0" fontId="3" fillId="0" borderId="0" xfId="2" applyAlignment="1">
      <alignment horizontal="left" vertical="center"/>
    </xf>
    <xf numFmtId="0" fontId="36" fillId="0" borderId="0" xfId="0" applyFont="1" applyAlignment="1">
      <alignment vertical="top"/>
    </xf>
    <xf numFmtId="0" fontId="13" fillId="9" borderId="0" xfId="0" applyFont="1" applyFill="1" applyAlignment="1">
      <alignment vertical="top" wrapText="1"/>
    </xf>
    <xf numFmtId="37" fontId="0" fillId="0" borderId="16" xfId="0" applyNumberFormat="1" applyBorder="1" applyAlignment="1">
      <alignment horizontal="right"/>
    </xf>
    <xf numFmtId="0" fontId="0" fillId="17" borderId="0" xfId="0" applyFill="1" applyAlignment="1">
      <alignment vertical="center"/>
    </xf>
    <xf numFmtId="10" fontId="24" fillId="0" borderId="0" xfId="0" applyNumberFormat="1" applyFont="1" applyAlignment="1">
      <alignment horizontal="center" vertical="center" wrapText="1"/>
    </xf>
    <xf numFmtId="0" fontId="37" fillId="0" borderId="43" xfId="0" applyFont="1" applyBorder="1" applyAlignment="1">
      <alignment horizontal="left" vertical="center" wrapText="1"/>
    </xf>
    <xf numFmtId="0" fontId="38" fillId="0" borderId="43" xfId="0" applyFont="1" applyBorder="1" applyAlignment="1">
      <alignment horizontal="left" vertical="center" wrapText="1"/>
    </xf>
    <xf numFmtId="0" fontId="38" fillId="0" borderId="43" xfId="0" applyFont="1" applyBorder="1" applyAlignment="1">
      <alignment vertical="center" wrapText="1"/>
    </xf>
    <xf numFmtId="0" fontId="36" fillId="6" borderId="43" xfId="0" applyFont="1" applyFill="1" applyBorder="1" applyAlignment="1">
      <alignment horizontal="center" vertical="center" wrapText="1"/>
    </xf>
    <xf numFmtId="49" fontId="32" fillId="21" borderId="43" xfId="1" applyNumberFormat="1" applyFont="1" applyFill="1" applyBorder="1" applyAlignment="1">
      <alignment horizontal="center" vertical="center" wrapText="1"/>
    </xf>
    <xf numFmtId="49" fontId="32" fillId="22" borderId="43" xfId="1" applyNumberFormat="1" applyFont="1" applyFill="1" applyBorder="1" applyAlignment="1">
      <alignment horizontal="center" vertical="center" wrapText="1"/>
    </xf>
    <xf numFmtId="49" fontId="32" fillId="23" borderId="43" xfId="1" applyNumberFormat="1" applyFont="1" applyFill="1" applyBorder="1" applyAlignment="1">
      <alignment horizontal="center" vertical="center" wrapText="1"/>
    </xf>
    <xf numFmtId="49" fontId="32" fillId="24" borderId="43" xfId="1" applyNumberFormat="1" applyFont="1" applyFill="1" applyBorder="1" applyAlignment="1">
      <alignment horizontal="center" vertical="center" wrapText="1"/>
    </xf>
    <xf numFmtId="49" fontId="30" fillId="25" borderId="43" xfId="1" applyNumberFormat="1" applyFont="1" applyFill="1" applyBorder="1" applyAlignment="1">
      <alignment horizontal="center" vertical="center" wrapText="1"/>
    </xf>
    <xf numFmtId="2" fontId="31" fillId="24" borderId="43" xfId="0" applyNumberFormat="1" applyFont="1" applyFill="1" applyBorder="1" applyAlignment="1">
      <alignment horizontal="center" vertical="center" wrapText="1"/>
    </xf>
    <xf numFmtId="2" fontId="31" fillId="25" borderId="43" xfId="0" applyNumberFormat="1" applyFont="1" applyFill="1" applyBorder="1" applyAlignment="1">
      <alignment horizontal="center" vertical="center" wrapText="1"/>
    </xf>
    <xf numFmtId="9" fontId="30" fillId="26" borderId="43" xfId="1" applyFont="1" applyFill="1" applyBorder="1" applyAlignment="1">
      <alignment horizontal="center" vertical="center" wrapText="1"/>
    </xf>
    <xf numFmtId="49" fontId="32" fillId="26" borderId="43" xfId="1" applyNumberFormat="1" applyFont="1" applyFill="1" applyBorder="1" applyAlignment="1">
      <alignment horizontal="center" vertical="center" wrapText="1"/>
    </xf>
    <xf numFmtId="9" fontId="30" fillId="26" borderId="43" xfId="1" applyFont="1" applyFill="1" applyBorder="1" applyAlignment="1" applyProtection="1">
      <alignment horizontal="center" vertical="center" wrapText="1"/>
    </xf>
    <xf numFmtId="49" fontId="30" fillId="26" borderId="43" xfId="1" applyNumberFormat="1" applyFont="1" applyFill="1" applyBorder="1" applyAlignment="1">
      <alignment horizontal="center" vertical="center" wrapText="1"/>
    </xf>
    <xf numFmtId="0" fontId="39" fillId="25" borderId="47" xfId="0" applyFont="1" applyFill="1" applyBorder="1" applyAlignment="1">
      <alignment horizontal="center" vertical="center"/>
    </xf>
    <xf numFmtId="0" fontId="39" fillId="22" borderId="46" xfId="0" applyFont="1" applyFill="1" applyBorder="1" applyAlignment="1">
      <alignment horizontal="center" vertical="center"/>
    </xf>
    <xf numFmtId="0" fontId="39" fillId="27" borderId="48" xfId="0" applyFont="1" applyFill="1" applyBorder="1" applyAlignment="1">
      <alignment horizontal="center" vertical="center"/>
    </xf>
    <xf numFmtId="2" fontId="4" fillId="0" borderId="3" xfId="0" applyNumberFormat="1" applyFont="1" applyBorder="1" applyAlignment="1">
      <alignment horizontal="left"/>
    </xf>
    <xf numFmtId="2" fontId="4" fillId="0" borderId="0" xfId="0" applyNumberFormat="1" applyFont="1" applyAlignment="1">
      <alignment horizontal="left"/>
    </xf>
    <xf numFmtId="2" fontId="0" fillId="0" borderId="3" xfId="0" applyNumberFormat="1" applyBorder="1" applyAlignment="1">
      <alignment horizontal="left"/>
    </xf>
    <xf numFmtId="2" fontId="0" fillId="0" borderId="3" xfId="0" applyNumberFormat="1" applyBorder="1" applyAlignment="1">
      <alignment horizontal="left" vertical="center"/>
    </xf>
    <xf numFmtId="2" fontId="0" fillId="0" borderId="8" xfId="0" applyNumberFormat="1" applyBorder="1" applyAlignment="1">
      <alignment horizontal="left"/>
    </xf>
    <xf numFmtId="2" fontId="6" fillId="7" borderId="31" xfId="0" applyNumberFormat="1" applyFont="1" applyFill="1" applyBorder="1"/>
    <xf numFmtId="2" fontId="6" fillId="7" borderId="32" xfId="0" applyNumberFormat="1" applyFont="1" applyFill="1" applyBorder="1"/>
    <xf numFmtId="2" fontId="6" fillId="7" borderId="23" xfId="0" applyNumberFormat="1" applyFont="1" applyFill="1" applyBorder="1"/>
    <xf numFmtId="2" fontId="6" fillId="7" borderId="22" xfId="0" applyNumberFormat="1" applyFont="1" applyFill="1" applyBorder="1"/>
    <xf numFmtId="0" fontId="0" fillId="9" borderId="0" xfId="0" applyFill="1" applyAlignment="1">
      <alignment horizontal="left" vertical="top"/>
    </xf>
    <xf numFmtId="0" fontId="0" fillId="0" borderId="0" xfId="0" applyAlignment="1">
      <alignment horizontal="left" vertical="top"/>
    </xf>
    <xf numFmtId="0" fontId="17" fillId="11" borderId="0" xfId="0" applyFont="1" applyFill="1" applyAlignment="1">
      <alignment horizontal="left" vertical="top" wrapText="1"/>
    </xf>
    <xf numFmtId="0" fontId="0" fillId="11" borderId="0" xfId="0" applyFill="1" applyAlignment="1">
      <alignment horizontal="left" vertical="top" wrapText="1"/>
    </xf>
    <xf numFmtId="0" fontId="17" fillId="9" borderId="0" xfId="0" applyFont="1" applyFill="1" applyAlignment="1">
      <alignment horizontal="left" vertical="top" wrapText="1"/>
    </xf>
    <xf numFmtId="0" fontId="21" fillId="9" borderId="0" xfId="0" applyFont="1" applyFill="1" applyAlignment="1">
      <alignment horizontal="left" vertical="top" wrapText="1"/>
    </xf>
    <xf numFmtId="0" fontId="17" fillId="11" borderId="0" xfId="0" applyFont="1" applyFill="1" applyAlignment="1">
      <alignment horizontal="left" vertical="top"/>
    </xf>
    <xf numFmtId="0" fontId="17" fillId="9" borderId="0" xfId="0" applyFont="1" applyFill="1" applyAlignment="1">
      <alignment horizontal="left" vertical="top"/>
    </xf>
    <xf numFmtId="0" fontId="0" fillId="11" borderId="0" xfId="0" applyFill="1" applyAlignment="1">
      <alignment horizontal="left" vertical="top"/>
    </xf>
    <xf numFmtId="0" fontId="17" fillId="11" borderId="41" xfId="0" applyFont="1" applyFill="1" applyBorder="1" applyAlignment="1">
      <alignment horizontal="left" vertical="top"/>
    </xf>
    <xf numFmtId="0" fontId="0" fillId="0" borderId="0" xfId="0" applyAlignment="1">
      <alignment vertical="top" wrapText="1"/>
    </xf>
    <xf numFmtId="0" fontId="16" fillId="9" borderId="1" xfId="0" applyFont="1" applyFill="1" applyBorder="1" applyAlignment="1">
      <alignment horizontal="center" vertical="top" wrapText="1"/>
    </xf>
    <xf numFmtId="0" fontId="3" fillId="11" borderId="0" xfId="2" applyFill="1" applyBorder="1" applyAlignment="1">
      <alignment vertical="top" wrapText="1"/>
    </xf>
    <xf numFmtId="0" fontId="3" fillId="9" borderId="0" xfId="2" applyFill="1" applyBorder="1" applyAlignment="1">
      <alignment vertical="top" wrapText="1"/>
    </xf>
    <xf numFmtId="0" fontId="13" fillId="9" borderId="0" xfId="2" applyFont="1" applyFill="1" applyBorder="1" applyAlignment="1">
      <alignment vertical="top" wrapText="1"/>
    </xf>
    <xf numFmtId="0" fontId="3" fillId="11" borderId="0" xfId="2" applyFill="1" applyAlignment="1">
      <alignment vertical="top" wrapText="1"/>
    </xf>
    <xf numFmtId="0" fontId="3" fillId="9" borderId="0" xfId="2" applyFill="1" applyAlignment="1">
      <alignment vertical="top" wrapText="1"/>
    </xf>
    <xf numFmtId="0" fontId="4" fillId="11" borderId="0" xfId="2" applyFont="1" applyFill="1" applyAlignment="1">
      <alignment vertical="top" wrapText="1"/>
    </xf>
    <xf numFmtId="0" fontId="4" fillId="9" borderId="0" xfId="2" applyFont="1" applyFill="1" applyAlignment="1">
      <alignment vertical="top" wrapText="1"/>
    </xf>
    <xf numFmtId="0" fontId="21" fillId="9" borderId="0" xfId="0" applyFont="1" applyFill="1" applyAlignment="1">
      <alignment horizontal="left" vertical="top"/>
    </xf>
    <xf numFmtId="0" fontId="21" fillId="11" borderId="0" xfId="0" applyFont="1" applyFill="1" applyAlignment="1">
      <alignment horizontal="left" vertical="top"/>
    </xf>
    <xf numFmtId="0" fontId="4" fillId="9" borderId="0" xfId="0" applyFont="1" applyFill="1" applyAlignment="1">
      <alignment horizontal="left" vertical="top"/>
    </xf>
    <xf numFmtId="0" fontId="1" fillId="11" borderId="0" xfId="4" applyFont="1" applyFill="1" applyBorder="1" applyAlignment="1">
      <alignment vertical="top"/>
    </xf>
    <xf numFmtId="0" fontId="1" fillId="9" borderId="0" xfId="0" applyFont="1" applyFill="1" applyAlignment="1">
      <alignment vertical="top"/>
    </xf>
    <xf numFmtId="0" fontId="1" fillId="11" borderId="0" xfId="0" applyFont="1" applyFill="1" applyAlignment="1">
      <alignment vertical="top"/>
    </xf>
    <xf numFmtId="0" fontId="15" fillId="17" borderId="17" xfId="4" applyFont="1" applyFill="1" applyBorder="1" applyAlignment="1">
      <alignment vertical="top"/>
    </xf>
    <xf numFmtId="0" fontId="1" fillId="9" borderId="0" xfId="4" applyFont="1" applyFill="1" applyBorder="1" applyAlignment="1">
      <alignment vertical="top"/>
    </xf>
    <xf numFmtId="0" fontId="15" fillId="16" borderId="17" xfId="4" applyFont="1" applyFill="1" applyBorder="1" applyAlignment="1">
      <alignment vertical="top"/>
    </xf>
    <xf numFmtId="0" fontId="22" fillId="15" borderId="17" xfId="4" applyFont="1" applyFill="1" applyBorder="1" applyAlignment="1">
      <alignment vertical="top"/>
    </xf>
    <xf numFmtId="0" fontId="1" fillId="9" borderId="0" xfId="0" applyFont="1" applyFill="1" applyAlignment="1">
      <alignment vertical="top" wrapText="1"/>
    </xf>
    <xf numFmtId="0" fontId="9" fillId="14" borderId="17" xfId="4" applyFont="1" applyFill="1" applyBorder="1" applyAlignment="1">
      <alignment vertical="top"/>
    </xf>
    <xf numFmtId="0" fontId="9" fillId="13" borderId="26" xfId="4" applyFont="1" applyFill="1" applyBorder="1" applyAlignment="1">
      <alignment vertical="top"/>
    </xf>
    <xf numFmtId="0" fontId="1" fillId="9" borderId="0" xfId="4" applyFont="1" applyFill="1" applyBorder="1" applyAlignment="1"/>
    <xf numFmtId="0" fontId="1" fillId="11" borderId="0" xfId="4" applyFont="1" applyFill="1" applyBorder="1" applyAlignment="1"/>
    <xf numFmtId="0" fontId="15" fillId="12" borderId="26" xfId="4" applyFont="1" applyFill="1" applyBorder="1" applyAlignment="1">
      <alignment horizontal="left" vertical="top"/>
    </xf>
    <xf numFmtId="0" fontId="15" fillId="12" borderId="26" xfId="4" applyFont="1" applyFill="1" applyBorder="1" applyAlignment="1">
      <alignment vertical="top"/>
    </xf>
    <xf numFmtId="0" fontId="40" fillId="11" borderId="0" xfId="0" applyFont="1" applyFill="1" applyAlignment="1">
      <alignment horizontal="left" vertical="top" wrapText="1"/>
    </xf>
    <xf numFmtId="0" fontId="16" fillId="0" borderId="0" xfId="0" applyFont="1" applyAlignment="1">
      <alignment vertical="center" wrapText="1"/>
    </xf>
    <xf numFmtId="0" fontId="1" fillId="9" borderId="0" xfId="0" applyFont="1" applyFill="1"/>
    <xf numFmtId="0" fontId="0" fillId="9" borderId="0" xfId="0" applyFill="1" applyAlignment="1">
      <alignment wrapText="1"/>
    </xf>
    <xf numFmtId="0" fontId="0" fillId="9" borderId="0" xfId="0" applyFill="1"/>
    <xf numFmtId="0" fontId="34" fillId="6" borderId="44" xfId="0" applyFont="1" applyFill="1" applyBorder="1" applyAlignment="1">
      <alignment horizontal="center" vertical="center" wrapText="1"/>
    </xf>
    <xf numFmtId="0" fontId="34" fillId="6" borderId="45" xfId="0" applyFont="1" applyFill="1" applyBorder="1" applyAlignment="1">
      <alignment horizontal="center" vertical="center" wrapText="1"/>
    </xf>
    <xf numFmtId="0" fontId="35" fillId="6" borderId="43" xfId="0" applyFont="1" applyFill="1" applyBorder="1" applyAlignment="1">
      <alignment horizontal="center" vertical="center"/>
    </xf>
    <xf numFmtId="0" fontId="36" fillId="6" borderId="44" xfId="0" applyFont="1" applyFill="1" applyBorder="1" applyAlignment="1">
      <alignment horizontal="center" vertical="center" wrapText="1"/>
    </xf>
    <xf numFmtId="0" fontId="36" fillId="6" borderId="45" xfId="0" applyFont="1" applyFill="1" applyBorder="1" applyAlignment="1">
      <alignment horizontal="center" vertical="center" wrapText="1"/>
    </xf>
    <xf numFmtId="0" fontId="36" fillId="6" borderId="43" xfId="0" applyFont="1" applyFill="1" applyBorder="1" applyAlignment="1">
      <alignment horizontal="center" vertical="center" wrapText="1"/>
    </xf>
    <xf numFmtId="9" fontId="36" fillId="6" borderId="43" xfId="0" applyNumberFormat="1" applyFont="1" applyFill="1" applyBorder="1" applyAlignment="1">
      <alignment horizontal="center" vertical="center" wrapText="1"/>
    </xf>
    <xf numFmtId="0" fontId="34" fillId="6" borderId="43" xfId="0" applyFont="1" applyFill="1" applyBorder="1" applyAlignment="1">
      <alignment horizontal="center" vertical="center" wrapText="1"/>
    </xf>
    <xf numFmtId="0" fontId="1" fillId="2" borderId="26" xfId="0" applyFont="1" applyFill="1" applyBorder="1" applyAlignment="1">
      <alignment vertical="center"/>
    </xf>
    <xf numFmtId="0" fontId="1" fillId="2" borderId="26" xfId="0" applyFont="1" applyFill="1" applyBorder="1" applyAlignment="1">
      <alignment horizontal="left" vertical="center"/>
    </xf>
    <xf numFmtId="0" fontId="1" fillId="2" borderId="0" xfId="0" applyFont="1" applyFill="1" applyAlignment="1">
      <alignment horizontal="left" vertical="center"/>
    </xf>
    <xf numFmtId="0" fontId="1" fillId="2" borderId="26" xfId="0" applyFont="1" applyFill="1" applyBorder="1" applyAlignment="1">
      <alignment horizontal="left" vertical="center" wrapText="1"/>
    </xf>
    <xf numFmtId="0" fontId="1" fillId="2" borderId="26" xfId="0" applyFont="1" applyFill="1" applyBorder="1" applyAlignment="1">
      <alignment horizontal="left"/>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xf>
    <xf numFmtId="0" fontId="0" fillId="0" borderId="0" xfId="0" applyAlignment="1">
      <alignment horizontal="center"/>
    </xf>
    <xf numFmtId="0" fontId="26" fillId="16" borderId="17" xfId="4" applyFont="1" applyFill="1" applyBorder="1" applyAlignment="1">
      <alignment vertical="center"/>
    </xf>
    <xf numFmtId="0" fontId="2" fillId="11" borderId="0" xfId="4" applyFont="1" applyFill="1" applyBorder="1" applyAlignment="1">
      <alignment vertical="center" wrapText="1"/>
    </xf>
    <xf numFmtId="0" fontId="1" fillId="11" borderId="0" xfId="4" applyFont="1" applyFill="1" applyBorder="1" applyAlignment="1">
      <alignment vertical="center"/>
    </xf>
    <xf numFmtId="0" fontId="16" fillId="9" borderId="0" xfId="0" applyFont="1" applyFill="1"/>
    <xf numFmtId="0" fontId="3" fillId="9" borderId="17" xfId="2" applyFill="1" applyBorder="1" applyAlignment="1">
      <alignment horizontal="left" vertical="center" wrapText="1"/>
    </xf>
    <xf numFmtId="0" fontId="0" fillId="9" borderId="0" xfId="0" applyFill="1" applyAlignment="1">
      <alignment horizontal="left" vertical="center" wrapText="1"/>
    </xf>
    <xf numFmtId="0" fontId="3" fillId="11" borderId="0" xfId="2" applyFill="1" applyAlignment="1">
      <alignment horizontal="left" vertical="center" wrapText="1"/>
    </xf>
    <xf numFmtId="0" fontId="9" fillId="19" borderId="17" xfId="4" applyFont="1" applyFill="1" applyBorder="1" applyAlignment="1">
      <alignment vertical="center"/>
    </xf>
    <xf numFmtId="0" fontId="3" fillId="11" borderId="0" xfId="2" applyFill="1" applyBorder="1" applyAlignment="1">
      <alignment horizontal="left" vertical="center" wrapText="1"/>
    </xf>
    <xf numFmtId="0" fontId="3" fillId="11" borderId="17" xfId="2" applyFill="1" applyBorder="1" applyAlignment="1">
      <alignment horizontal="left" vertical="center" wrapText="1"/>
    </xf>
    <xf numFmtId="0" fontId="3" fillId="9" borderId="0" xfId="2" applyFill="1" applyBorder="1" applyAlignment="1">
      <alignment horizontal="left" vertical="center" wrapText="1"/>
    </xf>
    <xf numFmtId="0" fontId="3" fillId="9" borderId="42" xfId="2" applyFill="1" applyBorder="1" applyAlignment="1">
      <alignment horizontal="left" vertical="center" wrapText="1"/>
    </xf>
    <xf numFmtId="0" fontId="0" fillId="9" borderId="0" xfId="0" applyFill="1" applyAlignment="1">
      <alignment vertical="center" wrapText="1"/>
    </xf>
    <xf numFmtId="0" fontId="15" fillId="12" borderId="0" xfId="4" applyFont="1" applyFill="1" applyBorder="1" applyAlignment="1">
      <alignment vertical="center"/>
    </xf>
    <xf numFmtId="0" fontId="16" fillId="9" borderId="0" xfId="0" applyFont="1" applyFill="1" applyAlignment="1">
      <alignment horizontal="left" vertical="top"/>
    </xf>
    <xf numFmtId="0" fontId="0" fillId="9" borderId="40" xfId="0" applyFill="1" applyBorder="1" applyAlignment="1">
      <alignment vertical="center" wrapText="1"/>
    </xf>
    <xf numFmtId="0" fontId="3" fillId="9" borderId="0" xfId="2" applyFill="1" applyAlignment="1">
      <alignment vertical="center" wrapText="1"/>
    </xf>
    <xf numFmtId="0" fontId="0" fillId="9" borderId="40" xfId="4" applyFont="1" applyFill="1" applyBorder="1" applyAlignment="1">
      <alignment vertical="center"/>
    </xf>
    <xf numFmtId="0" fontId="0" fillId="11" borderId="40" xfId="0" applyFill="1" applyBorder="1" applyAlignment="1">
      <alignment horizontal="left" vertical="center" wrapText="1"/>
    </xf>
    <xf numFmtId="0" fontId="9" fillId="13" borderId="17" xfId="4" applyFont="1" applyFill="1" applyBorder="1" applyAlignment="1">
      <alignment vertical="center"/>
    </xf>
    <xf numFmtId="0" fontId="0" fillId="11" borderId="0" xfId="0" applyFill="1" applyAlignment="1">
      <alignment horizontal="left" vertical="center" wrapText="1"/>
    </xf>
    <xf numFmtId="0" fontId="0" fillId="11" borderId="0" xfId="0" applyFill="1" applyAlignment="1">
      <alignment horizontal="left" vertical="center"/>
    </xf>
    <xf numFmtId="0" fontId="0" fillId="11" borderId="0" xfId="0" applyFill="1" applyAlignment="1">
      <alignment vertical="center"/>
    </xf>
    <xf numFmtId="0" fontId="1" fillId="9" borderId="0" xfId="4" applyFont="1" applyFill="1" applyBorder="1" applyAlignment="1">
      <alignment vertical="center"/>
    </xf>
  </cellXfs>
  <cellStyles count="6">
    <cellStyle name="Currency" xfId="3" builtinId="4"/>
    <cellStyle name="Heading 1" xfId="4" builtinId="16"/>
    <cellStyle name="Hyperlink" xfId="2" builtinId="8"/>
    <cellStyle name="Normal" xfId="0" builtinId="0"/>
    <cellStyle name="Normal 2" xfId="5" xr:uid="{1316FAEA-46C5-4132-ADD5-9DAEB2A4DD52}"/>
    <cellStyle name="Percent" xfId="1" builtinId="5"/>
  </cellStyles>
  <dxfs count="173">
    <dxf>
      <font>
        <color rgb="FF006100"/>
      </font>
      <fill>
        <patternFill>
          <bgColor rgb="FFC6EFCE"/>
        </patternFill>
      </fill>
    </dxf>
    <dxf>
      <font>
        <color rgb="FF9C0006"/>
      </font>
      <fill>
        <patternFill>
          <bgColor rgb="FFFFC7CE"/>
        </patternFill>
      </fill>
    </dxf>
    <dxf>
      <fill>
        <patternFill>
          <bgColor theme="8" tint="0.59996337778862885"/>
        </patternFill>
      </fill>
    </dxf>
    <dxf>
      <font>
        <color rgb="FF006100"/>
      </font>
      <fill>
        <patternFill>
          <bgColor rgb="FFC6EFCE"/>
        </patternFill>
      </fill>
    </dxf>
    <dxf>
      <font>
        <color rgb="FF9C0006"/>
      </font>
      <fill>
        <patternFill>
          <bgColor rgb="FFFFC7CE"/>
        </patternFill>
      </fill>
    </dxf>
    <dxf>
      <fill>
        <patternFill>
          <bgColor theme="8" tint="0.59996337778862885"/>
        </patternFill>
      </fill>
    </dxf>
    <dxf>
      <font>
        <color rgb="FF006100"/>
      </font>
      <fill>
        <patternFill>
          <bgColor rgb="FFC6EFCE"/>
        </patternFill>
      </fill>
    </dxf>
    <dxf>
      <font>
        <color rgb="FF9C0006"/>
      </font>
      <fill>
        <patternFill>
          <bgColor rgb="FFFFC7CE"/>
        </patternFill>
      </fill>
    </dxf>
    <dxf>
      <fill>
        <patternFill>
          <bgColor theme="8" tint="0.59996337778862885"/>
        </patternFill>
      </fill>
    </dxf>
    <dxf>
      <font>
        <color rgb="FF006100"/>
      </font>
      <fill>
        <patternFill>
          <bgColor rgb="FFC6EFCE"/>
        </patternFill>
      </fill>
    </dxf>
    <dxf>
      <font>
        <color rgb="FF9C0006"/>
      </font>
      <fill>
        <patternFill>
          <bgColor rgb="FFFFC7CE"/>
        </patternFill>
      </fill>
    </dxf>
    <dxf>
      <fill>
        <patternFill>
          <bgColor theme="8" tint="0.59996337778862885"/>
        </patternFill>
      </fill>
    </dxf>
    <dxf>
      <font>
        <color rgb="FF006100"/>
      </font>
      <fill>
        <patternFill>
          <bgColor rgb="FFC6EFCE"/>
        </patternFill>
      </fill>
    </dxf>
    <dxf>
      <font>
        <color rgb="FF9C0006"/>
      </font>
      <fill>
        <patternFill>
          <bgColor rgb="FFFFC7CE"/>
        </patternFill>
      </fill>
    </dxf>
    <dxf>
      <fill>
        <patternFill>
          <bgColor theme="8" tint="0.59996337778862885"/>
        </patternFill>
      </fill>
    </dxf>
    <dxf>
      <font>
        <color rgb="FF006100"/>
      </font>
      <fill>
        <patternFill>
          <bgColor rgb="FFC6EFCE"/>
        </patternFill>
      </fill>
    </dxf>
    <dxf>
      <font>
        <color rgb="FF9C0006"/>
      </font>
      <fill>
        <patternFill>
          <bgColor rgb="FFFFC7CE"/>
        </patternFill>
      </fill>
    </dxf>
    <dxf>
      <fill>
        <patternFill>
          <bgColor theme="8" tint="0.59996337778862885"/>
        </patternFill>
      </fill>
    </dxf>
    <dxf>
      <font>
        <color rgb="FF006100"/>
      </font>
      <fill>
        <patternFill>
          <bgColor rgb="FFC6EFCE"/>
        </patternFill>
      </fill>
    </dxf>
    <dxf>
      <font>
        <color rgb="FF9C0006"/>
      </font>
      <fill>
        <patternFill>
          <bgColor rgb="FFFFC7CE"/>
        </patternFill>
      </fill>
    </dxf>
    <dxf>
      <fill>
        <patternFill>
          <bgColor theme="8" tint="0.59996337778862885"/>
        </patternFill>
      </fill>
    </dxf>
    <dxf>
      <font>
        <color rgb="FF006100"/>
      </font>
      <fill>
        <patternFill>
          <bgColor rgb="FFC6EFCE"/>
        </patternFill>
      </fill>
    </dxf>
    <dxf>
      <font>
        <color rgb="FF9C0006"/>
      </font>
      <fill>
        <patternFill>
          <bgColor rgb="FFFFC7CE"/>
        </patternFill>
      </fill>
    </dxf>
    <dxf>
      <fill>
        <patternFill>
          <bgColor theme="8" tint="0.59996337778862885"/>
        </patternFill>
      </fill>
    </dxf>
    <dxf>
      <font>
        <color rgb="FF006100"/>
      </font>
      <fill>
        <patternFill>
          <bgColor rgb="FFC6EFCE"/>
        </patternFill>
      </fill>
    </dxf>
    <dxf>
      <font>
        <color rgb="FF9C0006"/>
      </font>
      <fill>
        <patternFill>
          <bgColor rgb="FFFFC7CE"/>
        </patternFill>
      </fill>
    </dxf>
    <dxf>
      <fill>
        <patternFill>
          <bgColor theme="8" tint="0.59996337778862885"/>
        </patternFill>
      </fill>
    </dxf>
    <dxf>
      <font>
        <color theme="1"/>
      </font>
      <fill>
        <patternFill patternType="solid">
          <bgColor theme="8" tint="0.39997558519241921"/>
        </patternFill>
      </fill>
    </dxf>
    <dxf>
      <font>
        <color theme="1"/>
      </font>
      <fill>
        <patternFill patternType="solid">
          <bgColor theme="8" tint="0.59999389629810485"/>
        </patternFill>
      </fill>
    </dxf>
    <dxf>
      <font>
        <color theme="1"/>
      </font>
      <fill>
        <patternFill patternType="solid">
          <bgColor theme="8" tint="0.79998168889431442"/>
        </patternFill>
      </fill>
    </dxf>
    <dxf>
      <font>
        <color theme="1"/>
      </font>
      <fill>
        <patternFill patternType="solid">
          <bgColor theme="4" tint="-0.249977111117893"/>
        </patternFill>
      </fill>
    </dxf>
    <dxf>
      <fill>
        <patternFill patternType="solid">
          <bgColor theme="4"/>
        </patternFill>
      </fill>
    </dxf>
    <dxf>
      <fill>
        <patternFill patternType="solid">
          <bgColor theme="4" tint="0.39997558519241921"/>
        </patternFill>
      </fill>
    </dxf>
    <dxf>
      <fill>
        <patternFill patternType="solid">
          <bgColor theme="4" tint="0.59999389629810485"/>
        </patternFill>
      </fill>
    </dxf>
    <dxf>
      <fill>
        <patternFill patternType="solid">
          <bgColor theme="4" tint="0.79998168889431442"/>
        </patternFill>
      </fill>
    </dxf>
    <dxf>
      <fill>
        <patternFill patternType="solid">
          <bgColor theme="3" tint="0.79998168889431442"/>
        </patternFill>
      </fill>
    </dxf>
    <dxf>
      <font>
        <color rgb="FF006100"/>
      </font>
      <fill>
        <patternFill>
          <bgColor rgb="FFC6EFCE"/>
        </patternFill>
      </fill>
    </dxf>
    <dxf>
      <font>
        <color rgb="FF9C0006"/>
      </font>
      <fill>
        <patternFill>
          <bgColor rgb="FFFFC7CE"/>
        </patternFill>
      </fill>
    </dxf>
    <dxf>
      <fill>
        <patternFill>
          <bgColor theme="8" tint="0.59996337778862885"/>
        </patternFill>
      </fill>
    </dxf>
    <dxf>
      <font>
        <color rgb="FF006100"/>
      </font>
      <fill>
        <patternFill>
          <bgColor rgb="FFC6EFCE"/>
        </patternFill>
      </fill>
    </dxf>
    <dxf>
      <font>
        <color rgb="FF9C0006"/>
      </font>
      <fill>
        <patternFill>
          <bgColor rgb="FFFFC7CE"/>
        </patternFill>
      </fill>
    </dxf>
    <dxf>
      <fill>
        <patternFill>
          <bgColor theme="8" tint="0.59996337778862885"/>
        </patternFill>
      </fill>
    </dxf>
    <dxf>
      <font>
        <color rgb="FF006100"/>
      </font>
      <fill>
        <patternFill>
          <bgColor rgb="FFC6EFCE"/>
        </patternFill>
      </fill>
    </dxf>
    <dxf>
      <font>
        <color rgb="FF9C0006"/>
      </font>
      <fill>
        <patternFill>
          <bgColor rgb="FFFFC7CE"/>
        </patternFill>
      </fill>
    </dxf>
    <dxf>
      <fill>
        <patternFill>
          <bgColor theme="8" tint="0.59996337778862885"/>
        </patternFill>
      </fill>
    </dxf>
    <dxf>
      <font>
        <color rgb="FF006100"/>
      </font>
      <fill>
        <patternFill>
          <bgColor rgb="FFC6EFCE"/>
        </patternFill>
      </fill>
    </dxf>
    <dxf>
      <font>
        <color rgb="FF9C0006"/>
      </font>
      <fill>
        <patternFill>
          <bgColor rgb="FFFFC7CE"/>
        </patternFill>
      </fill>
    </dxf>
    <dxf>
      <fill>
        <patternFill>
          <bgColor theme="8" tint="0.59996337778862885"/>
        </patternFill>
      </fill>
    </dxf>
    <dxf>
      <font>
        <color rgb="FF006100"/>
      </font>
      <fill>
        <patternFill>
          <bgColor rgb="FFC6EFCE"/>
        </patternFill>
      </fill>
    </dxf>
    <dxf>
      <font>
        <color rgb="FF9C0006"/>
      </font>
      <fill>
        <patternFill>
          <bgColor rgb="FFFFC7CE"/>
        </patternFill>
      </fill>
    </dxf>
    <dxf>
      <fill>
        <patternFill>
          <bgColor theme="8" tint="0.59996337778862885"/>
        </patternFill>
      </fill>
    </dxf>
    <dxf>
      <font>
        <color rgb="FF006100"/>
      </font>
      <fill>
        <patternFill>
          <bgColor rgb="FFC6EFCE"/>
        </patternFill>
      </fill>
    </dxf>
    <dxf>
      <font>
        <color rgb="FF9C0006"/>
      </font>
      <fill>
        <patternFill>
          <bgColor rgb="FFFFC7CE"/>
        </patternFill>
      </fill>
    </dxf>
    <dxf>
      <fill>
        <patternFill>
          <bgColor theme="8" tint="0.59996337778862885"/>
        </patternFill>
      </fill>
    </dxf>
    <dxf>
      <font>
        <color rgb="FF006100"/>
      </font>
      <fill>
        <patternFill>
          <bgColor rgb="FFC6EFCE"/>
        </patternFill>
      </fill>
    </dxf>
    <dxf>
      <font>
        <color rgb="FF9C0006"/>
      </font>
      <fill>
        <patternFill>
          <bgColor rgb="FFFFC7CE"/>
        </patternFill>
      </fill>
    </dxf>
    <dxf>
      <fill>
        <patternFill>
          <bgColor theme="8" tint="0.59996337778862885"/>
        </patternFill>
      </fill>
    </dxf>
    <dxf>
      <font>
        <color rgb="FF006100"/>
      </font>
      <fill>
        <patternFill>
          <bgColor rgb="FFC6EFCE"/>
        </patternFill>
      </fill>
    </dxf>
    <dxf>
      <font>
        <color rgb="FF9C0006"/>
      </font>
      <fill>
        <patternFill>
          <bgColor rgb="FFFFC7CE"/>
        </patternFill>
      </fill>
    </dxf>
    <dxf>
      <fill>
        <patternFill>
          <bgColor theme="8" tint="0.59996337778862885"/>
        </patternFill>
      </fill>
    </dxf>
    <dxf>
      <font>
        <color rgb="FF006100"/>
      </font>
      <fill>
        <patternFill>
          <bgColor rgb="FFC6EFCE"/>
        </patternFill>
      </fill>
    </dxf>
    <dxf>
      <font>
        <color rgb="FF9C0006"/>
      </font>
      <fill>
        <patternFill>
          <bgColor rgb="FFFFC7CE"/>
        </patternFill>
      </fill>
    </dxf>
    <dxf>
      <fill>
        <patternFill>
          <bgColor theme="8" tint="0.59996337778862885"/>
        </patternFill>
      </fill>
    </dxf>
    <dxf>
      <font>
        <color rgb="FF006100"/>
      </font>
      <fill>
        <patternFill>
          <bgColor rgb="FFC6EFCE"/>
        </patternFill>
      </fill>
    </dxf>
    <dxf>
      <font>
        <color rgb="FF9C0006"/>
      </font>
      <fill>
        <patternFill>
          <bgColor rgb="FFFFC7CE"/>
        </patternFill>
      </fill>
    </dxf>
    <dxf>
      <fill>
        <patternFill>
          <bgColor theme="8" tint="0.59996337778862885"/>
        </patternFill>
      </fill>
    </dxf>
    <dxf>
      <font>
        <color rgb="FF006100"/>
      </font>
      <fill>
        <patternFill>
          <bgColor rgb="FFC6EFCE"/>
        </patternFill>
      </fill>
    </dxf>
    <dxf>
      <font>
        <color rgb="FF9C0006"/>
      </font>
      <fill>
        <patternFill>
          <bgColor rgb="FFFFC7CE"/>
        </patternFill>
      </fill>
    </dxf>
    <dxf>
      <fill>
        <patternFill>
          <bgColor theme="8" tint="0.59996337778862885"/>
        </patternFill>
      </fill>
    </dxf>
    <dxf>
      <font>
        <color rgb="FF006100"/>
      </font>
      <fill>
        <patternFill>
          <bgColor rgb="FFC6EFCE"/>
        </patternFill>
      </fill>
    </dxf>
    <dxf>
      <font>
        <color rgb="FF9C0006"/>
      </font>
      <fill>
        <patternFill>
          <bgColor rgb="FFFFC7CE"/>
        </patternFill>
      </fill>
    </dxf>
    <dxf>
      <fill>
        <patternFill>
          <bgColor theme="8" tint="0.59996337778862885"/>
        </patternFill>
      </fill>
    </dxf>
    <dxf>
      <font>
        <color rgb="FF006100"/>
      </font>
      <fill>
        <patternFill>
          <bgColor rgb="FFC6EFCE"/>
        </patternFill>
      </fill>
    </dxf>
    <dxf>
      <font>
        <color rgb="FF9C0006"/>
      </font>
      <fill>
        <patternFill>
          <bgColor rgb="FFFFC7CE"/>
        </patternFill>
      </fill>
    </dxf>
    <dxf>
      <fill>
        <patternFill>
          <bgColor theme="8" tint="0.59996337778862885"/>
        </patternFill>
      </fill>
    </dxf>
    <dxf>
      <font>
        <color rgb="FF006100"/>
      </font>
      <fill>
        <patternFill>
          <bgColor rgb="FFC6EFCE"/>
        </patternFill>
      </fill>
    </dxf>
    <dxf>
      <font>
        <color rgb="FF9C0006"/>
      </font>
      <fill>
        <patternFill>
          <bgColor rgb="FFFFC7CE"/>
        </patternFill>
      </fill>
    </dxf>
    <dxf>
      <fill>
        <patternFill>
          <bgColor theme="8" tint="0.59996337778862885"/>
        </patternFill>
      </fill>
    </dxf>
    <dxf>
      <font>
        <color theme="1"/>
      </font>
      <fill>
        <patternFill patternType="solid">
          <bgColor theme="4" tint="-0.249977111117893"/>
        </patternFill>
      </fill>
    </dxf>
    <dxf>
      <fill>
        <patternFill patternType="solid">
          <bgColor theme="4"/>
        </patternFill>
      </fill>
    </dxf>
    <dxf>
      <fill>
        <patternFill patternType="solid">
          <bgColor theme="4" tint="0.39997558519241921"/>
        </patternFill>
      </fill>
    </dxf>
    <dxf>
      <fill>
        <patternFill patternType="solid">
          <bgColor theme="4" tint="0.59999389629810485"/>
        </patternFill>
      </fill>
    </dxf>
    <dxf>
      <fill>
        <patternFill patternType="solid">
          <bgColor theme="4" tint="0.79998168889431442"/>
        </patternFill>
      </fill>
    </dxf>
    <dxf>
      <fill>
        <patternFill patternType="solid">
          <bgColor theme="3" tint="0.79998168889431442"/>
        </patternFill>
      </fill>
    </dxf>
    <dxf>
      <font>
        <color theme="1"/>
      </font>
      <fill>
        <patternFill patternType="solid">
          <bgColor theme="4" tint="-0.249977111117893"/>
        </patternFill>
      </fill>
    </dxf>
    <dxf>
      <fill>
        <patternFill patternType="solid">
          <bgColor theme="4"/>
        </patternFill>
      </fill>
    </dxf>
    <dxf>
      <fill>
        <patternFill patternType="solid">
          <bgColor theme="4" tint="0.39997558519241921"/>
        </patternFill>
      </fill>
    </dxf>
    <dxf>
      <fill>
        <patternFill patternType="solid">
          <bgColor theme="4" tint="0.59999389629810485"/>
        </patternFill>
      </fill>
    </dxf>
    <dxf>
      <fill>
        <patternFill patternType="solid">
          <bgColor theme="4" tint="0.79998168889431442"/>
        </patternFill>
      </fill>
    </dxf>
    <dxf>
      <fill>
        <patternFill patternType="solid">
          <bgColor theme="3" tint="0.79998168889431442"/>
        </patternFill>
      </fill>
    </dxf>
    <dxf>
      <font>
        <color auto="1"/>
      </font>
      <fill>
        <patternFill>
          <bgColor rgb="FFFFFF00"/>
        </patternFill>
      </fill>
    </dxf>
    <dxf>
      <font>
        <color rgb="FF9C0006"/>
      </font>
      <fill>
        <patternFill>
          <bgColor rgb="FFFFC7CE"/>
        </patternFill>
      </fill>
    </dxf>
    <dxf>
      <fill>
        <patternFill>
          <bgColor theme="8"/>
        </patternFill>
      </fill>
    </dxf>
    <dxf>
      <font>
        <color rgb="FF006100"/>
      </font>
      <fill>
        <patternFill>
          <bgColor rgb="FFC6EFCE"/>
        </patternFill>
      </fill>
    </dxf>
    <dxf>
      <fill>
        <patternFill patternType="solid">
          <bgColor theme="4"/>
        </patternFill>
      </fill>
    </dxf>
    <dxf>
      <font>
        <color theme="1"/>
      </font>
      <fill>
        <patternFill patternType="solid">
          <bgColor theme="4" tint="-0.249977111117893"/>
        </patternFill>
      </fill>
    </dxf>
    <dxf>
      <fill>
        <patternFill patternType="solid">
          <bgColor theme="3" tint="0.79998168889431442"/>
        </patternFill>
      </fill>
    </dxf>
    <dxf>
      <fill>
        <patternFill patternType="solid">
          <bgColor theme="4" tint="0.79998168889431442"/>
        </patternFill>
      </fill>
    </dxf>
    <dxf>
      <fill>
        <patternFill patternType="solid">
          <bgColor theme="4" tint="0.59999389629810485"/>
        </patternFill>
      </fill>
    </dxf>
    <dxf>
      <fill>
        <patternFill patternType="solid">
          <bgColor theme="4" tint="0.39997558519241921"/>
        </patternFill>
      </fill>
    </dxf>
    <dxf>
      <fill>
        <patternFill patternType="solid">
          <bgColor theme="4" tint="0.39997558519241921"/>
        </patternFill>
      </fill>
    </dxf>
    <dxf>
      <fill>
        <patternFill patternType="solid">
          <bgColor theme="4" tint="0.59999389629810485"/>
        </patternFill>
      </fill>
    </dxf>
    <dxf>
      <fill>
        <patternFill patternType="solid">
          <bgColor theme="4" tint="0.79998168889431442"/>
        </patternFill>
      </fill>
    </dxf>
    <dxf>
      <fill>
        <patternFill patternType="solid">
          <bgColor theme="3" tint="0.79998168889431442"/>
        </patternFill>
      </fill>
    </dxf>
    <dxf>
      <font>
        <color theme="1"/>
      </font>
      <fill>
        <patternFill patternType="solid">
          <bgColor theme="4" tint="-0.249977111117893"/>
        </patternFill>
      </fill>
    </dxf>
    <dxf>
      <fill>
        <patternFill patternType="solid">
          <bgColor theme="4"/>
        </patternFill>
      </fill>
    </dxf>
    <dxf>
      <fill>
        <patternFill patternType="solid">
          <bgColor theme="4" tint="0.79998168889431442"/>
        </patternFill>
      </fill>
    </dxf>
    <dxf>
      <fill>
        <patternFill patternType="solid">
          <bgColor theme="3" tint="0.79998168889431442"/>
        </patternFill>
      </fill>
    </dxf>
    <dxf>
      <font>
        <color theme="1"/>
      </font>
      <fill>
        <patternFill patternType="solid">
          <bgColor theme="4" tint="-0.249977111117893"/>
        </patternFill>
      </fill>
    </dxf>
    <dxf>
      <fill>
        <patternFill patternType="solid">
          <bgColor theme="4"/>
        </patternFill>
      </fill>
    </dxf>
    <dxf>
      <fill>
        <patternFill patternType="solid">
          <bgColor theme="4" tint="0.39997558519241921"/>
        </patternFill>
      </fill>
    </dxf>
    <dxf>
      <fill>
        <patternFill patternType="solid">
          <bgColor theme="4" tint="0.59999389629810485"/>
        </patternFill>
      </fill>
    </dxf>
    <dxf>
      <fill>
        <patternFill patternType="solid">
          <bgColor theme="4" tint="0.79998168889431442"/>
        </patternFill>
      </fill>
    </dxf>
    <dxf>
      <fill>
        <patternFill patternType="solid">
          <bgColor theme="3" tint="0.79998168889431442"/>
        </patternFill>
      </fill>
    </dxf>
    <dxf>
      <fill>
        <patternFill patternType="solid">
          <bgColor theme="4" tint="0.39997558519241921"/>
        </patternFill>
      </fill>
    </dxf>
    <dxf>
      <fill>
        <patternFill patternType="solid">
          <bgColor theme="4"/>
        </patternFill>
      </fill>
    </dxf>
    <dxf>
      <font>
        <color theme="1"/>
      </font>
      <fill>
        <patternFill patternType="solid">
          <bgColor theme="4" tint="-0.249977111117893"/>
        </patternFill>
      </fill>
    </dxf>
    <dxf>
      <fill>
        <patternFill patternType="solid">
          <bgColor theme="4" tint="0.59999389629810485"/>
        </patternFill>
      </fill>
    </dxf>
    <dxf>
      <font>
        <color theme="1"/>
      </font>
      <fill>
        <patternFill patternType="solid">
          <bgColor theme="4" tint="-0.249977111117893"/>
        </patternFill>
      </fill>
    </dxf>
    <dxf>
      <fill>
        <patternFill patternType="solid">
          <bgColor theme="4"/>
        </patternFill>
      </fill>
    </dxf>
    <dxf>
      <fill>
        <patternFill patternType="solid">
          <bgColor theme="4" tint="0.39997558519241921"/>
        </patternFill>
      </fill>
    </dxf>
    <dxf>
      <fill>
        <patternFill patternType="solid">
          <bgColor theme="4" tint="0.59999389629810485"/>
        </patternFill>
      </fill>
    </dxf>
    <dxf>
      <fill>
        <patternFill patternType="solid">
          <bgColor theme="4" tint="0.79998168889431442"/>
        </patternFill>
      </fill>
    </dxf>
    <dxf>
      <fill>
        <patternFill patternType="solid">
          <bgColor theme="3" tint="0.79998168889431442"/>
        </patternFill>
      </fill>
    </dxf>
    <dxf>
      <font>
        <color rgb="FFFF0000"/>
      </font>
      <fill>
        <patternFill>
          <bgColor rgb="FFFFCCCC"/>
        </patternFill>
      </fill>
    </dxf>
    <dxf>
      <fill>
        <patternFill>
          <bgColor theme="9" tint="0.39994506668294322"/>
        </patternFill>
      </fill>
    </dxf>
    <dxf>
      <fill>
        <patternFill>
          <bgColor theme="8"/>
        </patternFill>
      </fill>
    </dxf>
    <dxf>
      <font>
        <color rgb="FF006100"/>
      </font>
      <fill>
        <patternFill>
          <bgColor rgb="FFC6EFCE"/>
        </patternFill>
      </fill>
    </dxf>
    <dxf>
      <font>
        <color rgb="FF9C0006"/>
      </font>
      <fill>
        <patternFill>
          <bgColor rgb="FFFFC7CE"/>
        </patternFill>
      </fill>
    </dxf>
    <dxf>
      <fill>
        <patternFill>
          <bgColor theme="8"/>
        </patternFill>
      </fill>
    </dxf>
    <dxf>
      <numFmt numFmtId="2" formatCode="0.00"/>
      <alignment horizontal="center" vertical="bottom" textRotation="0" wrapText="0" indent="0" justifyLastLine="0" shrinkToFit="0" readingOrder="0"/>
      <protection locked="0" hidden="0"/>
    </dxf>
    <dxf>
      <numFmt numFmtId="2" formatCode="0.00"/>
      <alignment horizontal="center" vertical="bottom" textRotation="0" wrapText="0" indent="0" justifyLastLine="0" shrinkToFit="0" readingOrder="0"/>
      <protection locked="0" hidden="0"/>
    </dxf>
    <dxf>
      <numFmt numFmtId="2" formatCode="0.00"/>
      <alignment horizontal="center" vertical="bottom" textRotation="0" wrapText="0" indent="0" justifyLastLine="0" shrinkToFit="0" readingOrder="0"/>
      <protection locked="0" hidden="0"/>
    </dxf>
    <dxf>
      <numFmt numFmtId="2" formatCode="0.00"/>
      <alignment horizontal="center" vertical="bottom" textRotation="0" wrapText="0" indent="0" justifyLastLine="0" shrinkToFit="0" readingOrder="0"/>
      <protection locked="0" hidden="0"/>
    </dxf>
    <dxf>
      <numFmt numFmtId="2" formatCode="0.00"/>
      <alignment horizontal="center" vertical="bottom" textRotation="0" wrapText="0" indent="0" justifyLastLine="0" shrinkToFit="0" readingOrder="0"/>
      <protection locked="0" hidden="0"/>
    </dxf>
    <dxf>
      <numFmt numFmtId="2" formatCode="0.00"/>
      <alignment horizontal="center" vertical="bottom" textRotation="0" wrapText="0" indent="0" justifyLastLine="0" shrinkToFit="0" readingOrder="0"/>
      <protection locked="0" hidden="0"/>
    </dxf>
    <dxf>
      <numFmt numFmtId="2" formatCode="0.00"/>
      <alignment horizontal="center" vertical="bottom" textRotation="0" wrapText="0" indent="0" justifyLastLine="0" shrinkToFit="0" readingOrder="0"/>
      <protection locked="0" hidden="0"/>
    </dxf>
    <dxf>
      <numFmt numFmtId="2" formatCode="0.00"/>
      <alignment horizontal="center" vertical="bottom" textRotation="0" wrapText="0" indent="0" justifyLastLine="0" shrinkToFit="0" readingOrder="0"/>
      <protection locked="0" hidden="0"/>
    </dxf>
    <dxf>
      <numFmt numFmtId="2" formatCode="0.00"/>
      <alignment horizontal="center" vertical="bottom" textRotation="0" wrapText="0" indent="0" justifyLastLine="0" shrinkToFit="0" readingOrder="0"/>
      <protection locked="0" hidden="0"/>
    </dxf>
    <dxf>
      <numFmt numFmtId="2" formatCode="0.00"/>
      <alignment horizontal="center" vertical="bottom" textRotation="0" wrapText="0" indent="0" justifyLastLine="0" shrinkToFit="0" readingOrder="0"/>
      <protection locked="0" hidden="0"/>
    </dxf>
    <dxf>
      <numFmt numFmtId="2" formatCode="0.00"/>
      <alignment horizontal="center" vertical="bottom" textRotation="0" wrapText="0" indent="0" justifyLastLine="0" shrinkToFit="0" readingOrder="0"/>
      <protection locked="0" hidden="0"/>
    </dxf>
    <dxf>
      <numFmt numFmtId="2" formatCode="0.00"/>
      <alignment horizontal="center" vertical="bottom" textRotation="0" wrapText="0" indent="0" justifyLastLine="0" shrinkToFit="0" readingOrder="0"/>
      <protection locked="0" hidden="0"/>
    </dxf>
    <dxf>
      <numFmt numFmtId="2" formatCode="0.00"/>
      <alignment horizontal="center" vertical="bottom" textRotation="0" wrapText="0" indent="0" justifyLastLine="0" shrinkToFit="0" readingOrder="0"/>
      <protection locked="0" hidden="0"/>
    </dxf>
    <dxf>
      <numFmt numFmtId="2" formatCode="0.00"/>
      <alignment horizontal="center" vertical="bottom" textRotation="0" wrapText="0" indent="0" justifyLastLine="0" shrinkToFit="0" readingOrder="0"/>
      <protection locked="0" hidden="0"/>
    </dxf>
    <dxf>
      <numFmt numFmtId="2" formatCode="0.00"/>
      <alignment horizontal="center" vertical="bottom" textRotation="0" wrapText="0" indent="0" justifyLastLine="0" shrinkToFit="0" readingOrder="0"/>
      <protection locked="0" hidden="0"/>
    </dxf>
    <dxf>
      <numFmt numFmtId="2" formatCode="0.00"/>
      <alignment horizontal="center" vertical="bottom" textRotation="0" wrapText="0" indent="0" justifyLastLine="0" shrinkToFit="0" readingOrder="0"/>
      <protection locked="0" hidden="0"/>
    </dxf>
    <dxf>
      <numFmt numFmtId="2" formatCode="0.00"/>
      <alignment horizontal="center" vertical="bottom" textRotation="0" wrapText="0" indent="0" justifyLastLine="0" shrinkToFit="0" readingOrder="0"/>
      <protection locked="0" hidden="0"/>
    </dxf>
    <dxf>
      <numFmt numFmtId="2" formatCode="0.00"/>
      <alignment horizontal="center" vertical="bottom" textRotation="0" wrapText="0" indent="0" justifyLastLine="0" shrinkToFit="0" readingOrder="0"/>
      <protection locked="0" hidden="0"/>
    </dxf>
    <dxf>
      <numFmt numFmtId="2" formatCode="0.00"/>
      <alignment horizontal="center" vertical="bottom" textRotation="0" wrapText="0" indent="0" justifyLastLine="0" shrinkToFit="0" readingOrder="0"/>
      <protection locked="0" hidden="0"/>
    </dxf>
    <dxf>
      <numFmt numFmtId="2" formatCode="0.00"/>
      <alignment horizontal="center" vertical="bottom" textRotation="0" wrapText="0" indent="0" justifyLastLine="0" shrinkToFit="0" readingOrder="0"/>
      <protection locked="0" hidden="0"/>
    </dxf>
    <dxf>
      <numFmt numFmtId="2" formatCode="0.00"/>
      <alignment horizontal="center" vertical="bottom" textRotation="0" wrapText="0" indent="0" justifyLastLine="0" shrinkToFit="0" readingOrder="0"/>
      <protection locked="0" hidden="0"/>
    </dxf>
    <dxf>
      <numFmt numFmtId="0" formatCode="General"/>
      <protection locked="0" hidden="0"/>
    </dxf>
    <dxf>
      <protection locked="0" hidden="0"/>
    </dxf>
    <dxf>
      <protection locked="0" hidden="0"/>
    </dxf>
    <dxf>
      <protection locked="0" hidden="0"/>
    </dxf>
    <dxf>
      <font>
        <b val="0"/>
        <i val="0"/>
        <strike val="0"/>
        <condense val="0"/>
        <extend val="0"/>
        <outline val="0"/>
        <shadow val="0"/>
        <u val="none"/>
        <vertAlign val="baseline"/>
        <sz val="20"/>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ck">
          <color auto="1"/>
        </left>
        <right style="thick">
          <color auto="1"/>
        </right>
        <top style="thick">
          <color auto="1"/>
        </top>
        <bottom style="thick">
          <color auto="1"/>
        </bottom>
        <vertical style="thick">
          <color auto="1"/>
        </vertical>
        <horizontal style="thick">
          <color auto="1"/>
        </horizontal>
      </border>
    </dxf>
    <dxf>
      <font>
        <b val="0"/>
        <i val="0"/>
        <strike val="0"/>
        <condense val="0"/>
        <extend val="0"/>
        <outline val="0"/>
        <shadow val="0"/>
        <u val="none"/>
        <vertAlign val="baseline"/>
        <sz val="20"/>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ck">
          <color auto="1"/>
        </left>
        <right style="thick">
          <color auto="1"/>
        </right>
        <top style="thick">
          <color auto="1"/>
        </top>
        <bottom style="thick">
          <color auto="1"/>
        </bottom>
        <vertical style="thick">
          <color auto="1"/>
        </vertical>
        <horizontal style="thick">
          <color auto="1"/>
        </horizontal>
      </border>
    </dxf>
    <dxf>
      <font>
        <b val="0"/>
        <i val="0"/>
        <strike val="0"/>
        <condense val="0"/>
        <extend val="0"/>
        <outline val="0"/>
        <shadow val="0"/>
        <u val="none"/>
        <vertAlign val="baseline"/>
        <sz val="20"/>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ck">
          <color auto="1"/>
        </left>
        <right style="thick">
          <color auto="1"/>
        </right>
        <top style="thick">
          <color auto="1"/>
        </top>
        <bottom style="thick">
          <color auto="1"/>
        </bottom>
        <vertical style="thick">
          <color auto="1"/>
        </vertical>
        <horizontal style="thick">
          <color auto="1"/>
        </horizontal>
      </border>
    </dxf>
    <dxf>
      <font>
        <b val="0"/>
        <i val="0"/>
        <strike val="0"/>
        <condense val="0"/>
        <extend val="0"/>
        <outline val="0"/>
        <shadow val="0"/>
        <u val="none"/>
        <vertAlign val="baseline"/>
        <sz val="20"/>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ck">
          <color auto="1"/>
        </left>
        <right style="thick">
          <color auto="1"/>
        </right>
        <top style="thick">
          <color auto="1"/>
        </top>
        <bottom style="thick">
          <color auto="1"/>
        </bottom>
        <vertical style="thick">
          <color auto="1"/>
        </vertical>
        <horizontal style="thick">
          <color auto="1"/>
        </horizontal>
      </border>
    </dxf>
    <dxf>
      <font>
        <b val="0"/>
        <i val="0"/>
        <strike val="0"/>
        <condense val="0"/>
        <extend val="0"/>
        <outline val="0"/>
        <shadow val="0"/>
        <u val="none"/>
        <vertAlign val="baseline"/>
        <sz val="20"/>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ck">
          <color auto="1"/>
        </left>
        <right style="thick">
          <color auto="1"/>
        </right>
        <top style="thick">
          <color auto="1"/>
        </top>
        <bottom style="thick">
          <color auto="1"/>
        </bottom>
        <vertical style="thick">
          <color auto="1"/>
        </vertical>
        <horizontal style="thick">
          <color auto="1"/>
        </horizontal>
      </border>
    </dxf>
    <dxf>
      <font>
        <b val="0"/>
        <i val="0"/>
        <strike val="0"/>
        <condense val="0"/>
        <extend val="0"/>
        <outline val="0"/>
        <shadow val="0"/>
        <u val="none"/>
        <vertAlign val="baseline"/>
        <sz val="20"/>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ck">
          <color auto="1"/>
        </left>
        <right style="thick">
          <color auto="1"/>
        </right>
        <top style="thick">
          <color auto="1"/>
        </top>
        <bottom style="thick">
          <color auto="1"/>
        </bottom>
      </border>
    </dxf>
    <dxf>
      <font>
        <b val="0"/>
        <i val="0"/>
        <strike val="0"/>
        <condense val="0"/>
        <extend val="0"/>
        <outline val="0"/>
        <shadow val="0"/>
        <u val="none"/>
        <vertAlign val="baseline"/>
        <sz val="28"/>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ck">
          <color auto="1"/>
        </left>
        <right style="thick">
          <color auto="1"/>
        </right>
        <top style="thick">
          <color auto="1"/>
        </top>
        <bottom style="thick">
          <color auto="1"/>
        </bottom>
      </border>
    </dxf>
    <dxf>
      <font>
        <b val="0"/>
        <i val="0"/>
        <strike val="0"/>
        <condense val="0"/>
        <extend val="0"/>
        <outline val="0"/>
        <shadow val="0"/>
        <u val="none"/>
        <vertAlign val="baseline"/>
        <sz val="28"/>
        <color theme="1"/>
        <name val="Calibri"/>
        <family val="2"/>
        <scheme val="minor"/>
      </font>
      <numFmt numFmtId="13" formatCode="0%"/>
      <fill>
        <patternFill patternType="none">
          <fgColor indexed="64"/>
          <bgColor rgb="FF92D050"/>
        </patternFill>
      </fill>
      <alignment horizontal="center" vertical="center" textRotation="0" wrapText="1" indent="0" justifyLastLine="0" shrinkToFit="0" readingOrder="0"/>
      <border diagonalUp="0" diagonalDown="0" outline="0">
        <left style="thick">
          <color auto="1"/>
        </left>
        <right style="thick">
          <color auto="1"/>
        </right>
        <top style="thick">
          <color auto="1"/>
        </top>
        <bottom style="thick">
          <color auto="1"/>
        </bottom>
      </border>
      <protection locked="1" hidden="0"/>
    </dxf>
    <dxf>
      <font>
        <b val="0"/>
        <i val="0"/>
        <strike val="0"/>
        <condense val="0"/>
        <extend val="0"/>
        <outline val="0"/>
        <shadow val="0"/>
        <u val="none"/>
        <vertAlign val="baseline"/>
        <sz val="28"/>
        <color theme="1"/>
        <name val="Calibri"/>
        <family val="2"/>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ck">
          <color auto="1"/>
        </left>
        <right style="thick">
          <color auto="1"/>
        </right>
        <top style="thick">
          <color auto="1"/>
        </top>
        <bottom style="thick">
          <color auto="1"/>
        </bottom>
      </border>
      <protection locked="1" hidden="0"/>
    </dxf>
    <dxf>
      <font>
        <b val="0"/>
        <i val="0"/>
        <strike val="0"/>
        <condense val="0"/>
        <extend val="0"/>
        <outline val="0"/>
        <shadow val="0"/>
        <u val="none"/>
        <vertAlign val="baseline"/>
        <sz val="28"/>
        <color rgb="FF000000"/>
        <name val="Calibri"/>
        <family val="2"/>
        <scheme val="minor"/>
      </font>
      <numFmt numFmtId="2" formatCode="0.00"/>
      <fill>
        <patternFill patternType="solid">
          <fgColor indexed="64"/>
          <bgColor rgb="FFFF5252"/>
        </patternFill>
      </fill>
      <alignment horizontal="center" vertical="center" textRotation="0" wrapText="1" indent="0" justifyLastLine="0" shrinkToFit="0" readingOrder="0"/>
      <border diagonalUp="0" diagonalDown="0">
        <left style="thick">
          <color auto="1"/>
        </left>
        <right style="thick">
          <color auto="1"/>
        </right>
        <top style="thick">
          <color auto="1"/>
        </top>
        <bottom style="thick">
          <color auto="1"/>
        </bottom>
        <vertical/>
        <horizontal/>
      </border>
    </dxf>
    <dxf>
      <font>
        <b val="0"/>
        <strike val="0"/>
        <outline val="0"/>
        <shadow val="0"/>
        <u val="none"/>
        <vertAlign val="baseline"/>
        <sz val="28"/>
        <name val="Calibri"/>
        <family val="2"/>
        <scheme val="minor"/>
      </font>
      <numFmt numFmtId="0" formatCode="General"/>
      <alignment horizontal="center" vertical="center" textRotation="0" wrapText="1" indent="0" justifyLastLine="0" shrinkToFit="0" readingOrder="0"/>
      <border diagonalUp="0" diagonalDown="0">
        <left style="thick">
          <color auto="1"/>
        </left>
        <right style="thick">
          <color auto="1"/>
        </right>
        <top style="thick">
          <color auto="1"/>
        </top>
        <bottom style="thick">
          <color auto="1"/>
        </bottom>
      </border>
    </dxf>
    <dxf>
      <font>
        <b val="0"/>
        <i val="0"/>
        <strike val="0"/>
        <condense val="0"/>
        <extend val="0"/>
        <outline val="0"/>
        <shadow val="0"/>
        <u val="none"/>
        <vertAlign val="baseline"/>
        <sz val="28"/>
        <color rgb="FF000000"/>
        <name val="Calibri"/>
        <family val="2"/>
        <scheme val="minor"/>
      </font>
      <numFmt numFmtId="2" formatCode="0.00"/>
      <alignment horizontal="center" vertical="center" textRotation="0" wrapText="1" indent="0" justifyLastLine="0" shrinkToFit="0" readingOrder="0"/>
      <border diagonalUp="0" diagonalDown="0" outline="0">
        <left style="thick">
          <color auto="1"/>
        </left>
        <right style="thick">
          <color auto="1"/>
        </right>
        <top style="thick">
          <color auto="1"/>
        </top>
        <bottom style="thick">
          <color auto="1"/>
        </bottom>
      </border>
    </dxf>
    <dxf>
      <font>
        <b val="0"/>
        <i val="0"/>
        <strike val="0"/>
        <condense val="0"/>
        <extend val="0"/>
        <outline val="0"/>
        <shadow val="0"/>
        <u val="none"/>
        <vertAlign val="baseline"/>
        <sz val="28"/>
        <color rgb="FF000000"/>
        <name val="Calibri"/>
        <family val="2"/>
        <scheme val="minor"/>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ck">
          <color auto="1"/>
        </left>
        <right style="thick">
          <color auto="1"/>
        </right>
        <top style="thick">
          <color auto="1"/>
        </top>
        <bottom style="thick">
          <color auto="1"/>
        </bottom>
      </border>
    </dxf>
    <dxf>
      <font>
        <b val="0"/>
        <i val="0"/>
        <strike val="0"/>
        <condense val="0"/>
        <extend val="0"/>
        <outline val="0"/>
        <shadow val="0"/>
        <u val="none"/>
        <vertAlign val="baseline"/>
        <sz val="24"/>
        <color theme="1"/>
        <name val="Calibri"/>
        <family val="2"/>
        <scheme val="minor"/>
      </font>
      <fill>
        <patternFill patternType="solid">
          <fgColor indexed="64"/>
          <bgColor rgb="FFCADCED"/>
        </patternFill>
      </fill>
      <alignment horizontal="left" vertical="center" textRotation="0" wrapText="1" indent="0" justifyLastLine="0" shrinkToFit="0" readingOrder="0"/>
      <border diagonalUp="0" diagonalDown="0" outline="0">
        <left style="thick">
          <color auto="1"/>
        </left>
        <right style="thick">
          <color auto="1"/>
        </right>
        <top style="thick">
          <color auto="1"/>
        </top>
        <bottom style="thick">
          <color auto="1"/>
        </bottom>
      </border>
    </dxf>
    <dxf>
      <font>
        <b val="0"/>
        <strike val="0"/>
        <outline val="0"/>
        <shadow val="0"/>
        <u val="none"/>
        <vertAlign val="baseline"/>
        <sz val="24"/>
        <color theme="1"/>
        <name val="Calibri"/>
        <family val="2"/>
        <scheme val="minor"/>
      </font>
      <alignment horizontal="left" vertical="center" textRotation="0" wrapText="1" indent="0" justifyLastLine="0" shrinkToFit="0" readingOrder="0"/>
      <border diagonalUp="0" diagonalDown="0" outline="0">
        <left style="thick">
          <color auto="1"/>
        </left>
        <right style="thick">
          <color auto="1"/>
        </right>
        <top style="thick">
          <color auto="1"/>
        </top>
        <bottom style="thick">
          <color auto="1"/>
        </bottom>
      </border>
    </dxf>
    <dxf>
      <font>
        <strike val="0"/>
        <outline val="0"/>
        <shadow val="0"/>
        <u val="none"/>
        <vertAlign val="baseline"/>
        <sz val="24"/>
        <color theme="1"/>
        <name val="Calibri"/>
        <family val="2"/>
        <scheme val="minor"/>
      </font>
      <border diagonalUp="0" diagonalDown="0" outline="0">
        <left style="thick">
          <color auto="1"/>
        </left>
        <right style="thick">
          <color auto="1"/>
        </right>
        <top style="thick">
          <color auto="1"/>
        </top>
        <bottom style="thick">
          <color auto="1"/>
        </bottom>
      </border>
    </dxf>
    <dxf>
      <font>
        <b val="0"/>
        <i val="0"/>
        <strike val="0"/>
        <condense val="0"/>
        <extend val="0"/>
        <outline val="0"/>
        <shadow val="0"/>
        <u val="none"/>
        <vertAlign val="baseline"/>
        <sz val="20"/>
        <color theme="1"/>
        <name val="Calibri"/>
        <family val="2"/>
        <scheme val="minor"/>
      </font>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none">
          <fgColor indexed="64"/>
          <bgColor indexed="65"/>
        </patternFill>
      </fill>
      <alignment vertical="center" textRotation="0" indent="0" justifyLastLine="0" shrinkToFit="0" readingOrder="0"/>
      <border diagonalUp="0" diagonalDown="0" outline="0">
        <left style="medium">
          <color theme="0"/>
        </left>
        <right style="medium">
          <color theme="0"/>
        </right>
        <top/>
        <bottom/>
      </border>
    </dxf>
  </dxfs>
  <tableStyles count="1" defaultTableStyle="TableStyleMedium2" defaultPivotStyle="PivotStyleLight16">
    <tableStyle name="Invisible" pivot="0" table="0" count="0" xr9:uid="{0CC1E7BC-5378-4E96-9F99-1AD3097580DF}"/>
  </tableStyles>
  <colors>
    <mruColors>
      <color rgb="FF009699"/>
      <color rgb="FFF2C12E"/>
      <color rgb="FFFF5050"/>
      <color rgb="FFFFCCCC"/>
      <color rgb="FFFFFF66"/>
      <color rgb="FFFF0000"/>
      <color rgb="FFE67E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22/11/relationships/FeaturePropertyBag" Target="featurePropertyBag/featurePropertyBag.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5C45B6E-998B-4C04-9135-E69572F2C16E}" name="Table2" displayName="Table2" ref="A3:P26" totalsRowShown="0" headerRowDxfId="172" dataDxfId="171">
  <autoFilter ref="A3:P26" xr:uid="{45C45B6E-998B-4C04-9135-E69572F2C16E}"/>
  <sortState xmlns:xlrd2="http://schemas.microsoft.com/office/spreadsheetml/2017/richdata2" ref="A4:P26">
    <sortCondition descending="1" ref="D3:D26"/>
  </sortState>
  <tableColumns count="16">
    <tableColumn id="1" xr3:uid="{3220AFB0-19E7-4CD2-B2D5-67DF45E8C208}" name="Column2" dataDxfId="170"/>
    <tableColumn id="14" xr3:uid="{70C69AFE-58E4-44DD-BDDE-DA69360283BA}" name="Column22" dataDxfId="169"/>
    <tableColumn id="2" xr3:uid="{0AF8B3A7-1021-43BB-A5F5-4DC9171E6D4B}" name="Column1" dataDxfId="168"/>
    <tableColumn id="3" xr3:uid="{0B926026-E5FA-452A-9C99-147A6306D9CA}" name="Column3" dataDxfId="167"/>
    <tableColumn id="15" xr3:uid="{44B2AE84-7E5D-4D14-9414-E17F7F013A97}" name="Column32" dataDxfId="166"/>
    <tableColumn id="17" xr3:uid="{36E3B61B-758E-4A05-AD09-28C779881EB6}" name="Column33" dataDxfId="165">
      <calculatedColumnFormula>IF(E4/21&lt;0.1,"&lt;100",IF(E4/21&lt;0.5,"100-500","&gt;500" ))</calculatedColumnFormula>
    </tableColumn>
    <tableColumn id="4" xr3:uid="{09A2BF08-4CD8-42B1-85D7-46A27C90D914}" name="Column4" dataDxfId="164"/>
    <tableColumn id="6" xr3:uid="{96FC73E1-C2BA-4B83-993D-A6DD8518F6B7}" name="Column6" dataDxfId="163" dataCellStyle="Percent">
      <calculatedColumnFormula>IF(Table2[[#This Row],[Column4]]="Unknown","Unknown",IF(Table2[[#This Row],[Column4]]&lt;10,"0-10",IF(Table2[[#This Row],[Column4]]&lt;50,"10-50",IF(Table2[[#This Row],[Column4]]&lt;100,"50-100","&gt;100"))))</calculatedColumnFormula>
    </tableColumn>
    <tableColumn id="5" xr3:uid="{3EAF0D0C-93AE-4446-B61B-BEE7E50821E7}" name="Column5" dataDxfId="162" dataCellStyle="Percent"/>
    <tableColumn id="7" xr3:uid="{B240F1C8-350F-4E93-BE43-E9686F4EB34D}" name="Column7" dataDxfId="161"/>
    <tableColumn id="8" xr3:uid="{D758291E-4DF5-4A08-8F73-045B43D0AA1A}" name="Column8" dataDxfId="160"/>
    <tableColumn id="9" xr3:uid="{5A38E6C6-19A7-4FAA-9F9F-71B492331728}" name="Column9" dataDxfId="159"/>
    <tableColumn id="10" xr3:uid="{5747CF40-AAA8-4E3D-A15C-3C78266544B7}" name="Column10" dataDxfId="158"/>
    <tableColumn id="11" xr3:uid="{758AC163-3C1C-4DF1-B5BD-4DF364670284}" name="Column11" dataDxfId="157"/>
    <tableColumn id="12" xr3:uid="{2A5EEB09-5C38-4307-A158-A381916C3815}" name="Column12" dataDxfId="156"/>
    <tableColumn id="13" xr3:uid="{5A0FC0A6-53FF-40C4-A4EB-3EFEC1D9861B}" name="Column13" dataDxfId="15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1D8E1E0-0753-430D-8228-2CB11962110C}" name="Table1" displayName="Table1" ref="A1:W4" totalsRowShown="0" headerRowDxfId="154" dataDxfId="153">
  <tableColumns count="23">
    <tableColumn id="1" xr3:uid="{E8A7F5B5-F505-47FF-88CC-68629015A01C}" name="Scenario" dataDxfId="152"/>
    <tableColumn id="23" xr3:uid="{9F4F75EA-BF02-45BD-B35F-E6A683EB125A}" name="Growth rate" dataDxfId="151">
      <calculatedColumnFormula>(Table1[[#This Row],[2050]]-Table1[[#This Row],[2030]])/21</calculatedColumnFormula>
    </tableColumn>
    <tableColumn id="2" xr3:uid="{0306260A-7355-4148-BAB9-6EA26041A4B8}" name="2030" dataDxfId="150"/>
    <tableColumn id="3" xr3:uid="{DE0315C3-723F-440E-A2B7-A9D7FF8179D6}" name="2031" dataDxfId="149"/>
    <tableColumn id="4" xr3:uid="{2D8E5492-9062-4902-A5F6-4BBD7A841AEB}" name="2032" dataDxfId="148"/>
    <tableColumn id="5" xr3:uid="{92BD19E9-98DD-438B-8049-DBCF393FE80F}" name="2033" dataDxfId="147"/>
    <tableColumn id="6" xr3:uid="{2E422B9D-EBAE-4CF7-BB2E-2C6C369C2A9B}" name="2034" dataDxfId="146"/>
    <tableColumn id="7" xr3:uid="{DEA5181B-6FCC-43AD-AD80-A4CA686C6192}" name="2035" dataDxfId="145"/>
    <tableColumn id="8" xr3:uid="{C970C61E-7C36-4627-9236-E61D2C6FAC3E}" name="2036" dataDxfId="144"/>
    <tableColumn id="9" xr3:uid="{786CF85D-83ED-4DE6-A8AB-49ED549FD312}" name="2037" dataDxfId="143"/>
    <tableColumn id="10" xr3:uid="{945E523F-2388-434F-B09D-0E06D04B8218}" name="2038" dataDxfId="142"/>
    <tableColumn id="11" xr3:uid="{0B9DE01B-A88B-4BD2-832B-0C7EF5A6F842}" name="2039" dataDxfId="141"/>
    <tableColumn id="12" xr3:uid="{E92EB610-9C23-417E-A57A-68488AC1A3C2}" name="2040" dataDxfId="140"/>
    <tableColumn id="13" xr3:uid="{B5FACF2E-B4CE-414B-A5F4-6FCFF9914DD9}" name="2041" dataDxfId="139"/>
    <tableColumn id="14" xr3:uid="{7DFF8F28-169E-4DCA-A678-02538520B595}" name="2042" dataDxfId="138"/>
    <tableColumn id="15" xr3:uid="{3C09AA1E-DCA1-48D2-A6E3-74B35A0DC302}" name="2043" dataDxfId="137"/>
    <tableColumn id="16" xr3:uid="{754850E3-2BC2-4268-87DB-34C455BB036D}" name="2044" dataDxfId="136"/>
    <tableColumn id="17" xr3:uid="{DD9BD794-3D7A-482A-BBA6-16FDC12D7FAF}" name="2045" dataDxfId="135"/>
    <tableColumn id="18" xr3:uid="{F34B1AB2-F9FF-4C19-8E2A-1241B7EE2AA4}" name="2046" dataDxfId="134"/>
    <tableColumn id="19" xr3:uid="{FB781BBF-74A0-4C07-BD7E-ED02DF0E69B4}" name="2047" dataDxfId="133"/>
    <tableColumn id="20" xr3:uid="{AEEBF779-0C34-4C32-92E9-2E8931F6E1FA}" name="2048" dataDxfId="132"/>
    <tableColumn id="21" xr3:uid="{5168EC43-3988-452B-9124-513CBD4DA8CF}" name="2049" dataDxfId="131"/>
    <tableColumn id="22" xr3:uid="{8B1ED4B4-C770-4D24-A3EA-2C7CEDE8D7DB}" name="2050" dataDxfId="130"/>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oceanpanel.org/wp-content/uploads/2023/09/Ocean_Panel_Ocean_Climate_Solutions_Update_Full.pdf" TargetMode="External"/><Relationship Id="rId21" Type="http://schemas.openxmlformats.org/officeDocument/2006/relationships/hyperlink" Target="https://www.un.org/sites/un2.un.org/files/2021/09/irena_and_gwec_offshore_wind_energy_compact_-_final_1.pdf" TargetMode="External"/><Relationship Id="rId42" Type="http://schemas.openxmlformats.org/officeDocument/2006/relationships/hyperlink" Target="https://www.worldbank.org/en/topic/environment/publication/global-seaweed-new-and-emerging-markets-report-2023" TargetMode="External"/><Relationship Id="rId47" Type="http://schemas.openxmlformats.org/officeDocument/2006/relationships/hyperlink" Target="https://www.nature.org/en-us/newsroom/new-markets-could-catalyze-seaweed-regenerative-potential-on-land-and-sear/" TargetMode="External"/><Relationship Id="rId63" Type="http://schemas.openxmlformats.org/officeDocument/2006/relationships/hyperlink" Target="https://www.ocean-energy-systems.org/publications/oes-documents/market-policy-/document/ocean-energy-and-net-zero-an-international-roadmap-to-develop-300gw-of-ocean-energy-by-2050/" TargetMode="External"/><Relationship Id="rId68" Type="http://schemas.openxmlformats.org/officeDocument/2006/relationships/hyperlink" Target="https://eneroutlook.enerdata.net/total-electricity-generation-projections.html" TargetMode="External"/><Relationship Id="rId7" Type="http://schemas.openxmlformats.org/officeDocument/2006/relationships/hyperlink" Target="https://www.mmjdaily.com/article/9647782/carbon-footprint-floating-solar-energy-systems-similar-to-land-systems/" TargetMode="External"/><Relationship Id="rId71" Type="http://schemas.openxmlformats.org/officeDocument/2006/relationships/hyperlink" Target="https://www.bing.com/ck/a?!&amp;&amp;p=1921eb36f2f8ce2a3fdb189c59affd49e3aaf85c1013c4fd43dcb407906899caJmltdHM9MTc0MjM0MjQwMA&amp;ptn=3&amp;ver=2&amp;hsh=4&amp;fclid=3f3a74c2-3e5e-6940-003a-60233fe968a1&amp;u=a1aHR0cHM6Ly9kYXRhLm5yZWwuZ292L3N1Ym1pc3Npb25zLzE3MA&amp;ntb=1" TargetMode="External"/><Relationship Id="rId2" Type="http://schemas.openxmlformats.org/officeDocument/2006/relationships/hyperlink" Target="https://www.irena.org/publications/2021/Jul/Offshore-Renewables-An-Action-Agenda-for-Deployment" TargetMode="External"/><Relationship Id="rId16" Type="http://schemas.openxmlformats.org/officeDocument/2006/relationships/hyperlink" Target="https://www.sciencedirect.com/science/article/pii/S0306261921012149" TargetMode="External"/><Relationship Id="rId29" Type="http://schemas.openxmlformats.org/officeDocument/2006/relationships/hyperlink" Target="https://oceanpanel.org/wp-content/uploads/2023/09/Ocean_Panel_Ocean_Climate_Solutions_Update_Full.pdf" TargetMode="External"/><Relationship Id="rId11" Type="http://schemas.openxmlformats.org/officeDocument/2006/relationships/hyperlink" Target="https://doi.org/10.24752/gre.2.0_43" TargetMode="External"/><Relationship Id="rId24" Type="http://schemas.openxmlformats.org/officeDocument/2006/relationships/hyperlink" Target="https://oceanpanel.org/wp-content/uploads/2023/09/Ocean_Panel_Ocean_Climate_Solutions_Update_Full.pdf" TargetMode="External"/><Relationship Id="rId32" Type="http://schemas.openxmlformats.org/officeDocument/2006/relationships/hyperlink" Target="https://www.irena.org/publications/2021/Oct/A-Pathway-to-Decarbonise-the-Shipping-Sector-by-2050" TargetMode="External"/><Relationship Id="rId37" Type="http://schemas.openxmlformats.org/officeDocument/2006/relationships/hyperlink" Target="https://oceanpanel.org/wp-content/uploads/2023/09/Ocean_Panel_Ocean_Climate_Solutions_Update_Full.pdf" TargetMode="External"/><Relationship Id="rId40" Type="http://schemas.openxmlformats.org/officeDocument/2006/relationships/hyperlink" Target="https://oceanpanel.org/wp-content/uploads/2023/09/Ocean_Panel_Ocean_Climate_Solutions_Update_Full.pdf" TargetMode="External"/><Relationship Id="rId45" Type="http://schemas.openxmlformats.org/officeDocument/2006/relationships/hyperlink" Target="https://www.worldbank.org/en/topic/environment/publication/global-seaweed-new-and-emerging-markets-report-2023" TargetMode="External"/><Relationship Id="rId53" Type="http://schemas.openxmlformats.org/officeDocument/2006/relationships/hyperlink" Target="https://www.nature.com/articles/s41477-022-01305-9" TargetMode="External"/><Relationship Id="rId58" Type="http://schemas.openxmlformats.org/officeDocument/2006/relationships/hyperlink" Target="https://iea.blob.core.windows.net/assets/deebef5d-0c34-4539-9d0c-10b13d840027/NetZeroby2050-ARoadmapfortheGlobalEnergySector_CORR.pdf" TargetMode="External"/><Relationship Id="rId66" Type="http://schemas.openxmlformats.org/officeDocument/2006/relationships/hyperlink" Target="https://www.ocean-energy-systems.org/publications/oes-documents/market-policy-/document/ocean-energy-and-net-zero-an-international-roadmap-to-develop-300gw-of-ocean-energy-by-2050/" TargetMode="External"/><Relationship Id="rId5" Type="http://schemas.openxmlformats.org/officeDocument/2006/relationships/hyperlink" Target="https://www.dnv.com/focus-areas/offshore-aquaculture/marine-aquaculture-forecast/" TargetMode="External"/><Relationship Id="rId61" Type="http://schemas.openxmlformats.org/officeDocument/2006/relationships/hyperlink" Target="https://www.ocean-energy-systems.org/publications/oes-documents/market-policy-/document/ocean-energy-and-net-zero-an-international-roadmap-to-develop-300gw-of-ocean-energy-by-2050/" TargetMode="External"/><Relationship Id="rId19" Type="http://schemas.openxmlformats.org/officeDocument/2006/relationships/hyperlink" Target="https://nationaloffshorewind.org/wp-content/uploads/147502_Final-Report.pdf" TargetMode="External"/><Relationship Id="rId14" Type="http://schemas.openxmlformats.org/officeDocument/2006/relationships/hyperlink" Target="https://www.sciencedirect.com/science/article/pii/S0306261921012149" TargetMode="External"/><Relationship Id="rId22" Type="http://schemas.openxmlformats.org/officeDocument/2006/relationships/hyperlink" Target="https://www.mckinsey.com/industries/electric-power-and-natural-gas/our-insights/how-to-succeed-in-the-expanding-global-offshore-wind-market" TargetMode="External"/><Relationship Id="rId27" Type="http://schemas.openxmlformats.org/officeDocument/2006/relationships/hyperlink" Target="https://oceanpanel.org/wp-content/uploads/2023/09/Ocean_Panel_Ocean_Climate_Solutions_Update_Full.pdf" TargetMode="External"/><Relationship Id="rId30" Type="http://schemas.openxmlformats.org/officeDocument/2006/relationships/hyperlink" Target="https://oceanpanel.org/wp-content/uploads/2023/09/Ocean_Panel_Ocean_Climate_Solutions_Update_Full.pdf" TargetMode="External"/><Relationship Id="rId35" Type="http://schemas.openxmlformats.org/officeDocument/2006/relationships/hyperlink" Target="https://oceanpanel.org/wp-content/uploads/2023/09/Ocean_Panel_Ocean_Climate_Solutions_Update_Full.pdf" TargetMode="External"/><Relationship Id="rId43" Type="http://schemas.openxmlformats.org/officeDocument/2006/relationships/hyperlink" Target="https://www.worldbank.org/en/topic/environment/publication/global-seaweed-new-and-emerging-markets-report-2023" TargetMode="External"/><Relationship Id="rId48" Type="http://schemas.openxmlformats.org/officeDocument/2006/relationships/hyperlink" Target="https://www.nature.org/en-us/newsroom/new-markets-could-catalyze-seaweed-regenerative-potential-on-land-and-sear/" TargetMode="External"/><Relationship Id="rId56" Type="http://schemas.openxmlformats.org/officeDocument/2006/relationships/hyperlink" Target="https://www.osti.gov/biblio/2202642" TargetMode="External"/><Relationship Id="rId64" Type="http://schemas.openxmlformats.org/officeDocument/2006/relationships/hyperlink" Target="https://www.pnas.org/doi/abs/10.1073/pnas.2121705119" TargetMode="External"/><Relationship Id="rId69" Type="http://schemas.openxmlformats.org/officeDocument/2006/relationships/hyperlink" Target="https://www.bing.com/ck/a?!&amp;&amp;p=1921eb36f2f8ce2a3fdb189c59affd49e3aaf85c1013c4fd43dcb407906899caJmltdHM9MTc0MjM0MjQwMA&amp;ptn=3&amp;ver=2&amp;hsh=4&amp;fclid=3f3a74c2-3e5e-6940-003a-60233fe968a1&amp;u=a1aHR0cHM6Ly9kYXRhLm5yZWwuZ292L3N1Ym1pc3Npb25zLzE3MA&amp;ntb=1" TargetMode="External"/><Relationship Id="rId8" Type="http://schemas.openxmlformats.org/officeDocument/2006/relationships/hyperlink" Target="https://www.nrel.gov/docs/fy23osti/84921.pdf" TargetMode="External"/><Relationship Id="rId51" Type="http://schemas.openxmlformats.org/officeDocument/2006/relationships/hyperlink" Target="https://www.nature.org/en-us/newsroom/new-markets-could-catalyze-seaweed-regenerative-potential-on-land-and-sear/" TargetMode="External"/><Relationship Id="rId3" Type="http://schemas.openxmlformats.org/officeDocument/2006/relationships/hyperlink" Target="https://www.woodmac.com/news/opinion/global-deepwater-production-to-increase-60/" TargetMode="External"/><Relationship Id="rId12" Type="http://schemas.openxmlformats.org/officeDocument/2006/relationships/hyperlink" Target="https://www.mmjdaily.com/article/9647782/carbon-footprint-floating-solar-energy-systems-similar-to-land-systems/" TargetMode="External"/><Relationship Id="rId17" Type="http://schemas.openxmlformats.org/officeDocument/2006/relationships/hyperlink" Target="https://research.tudelft.nl/en/publications/shifting-wave-energy-perceptions-the-case-for-wave-energy-convert" TargetMode="External"/><Relationship Id="rId25" Type="http://schemas.openxmlformats.org/officeDocument/2006/relationships/hyperlink" Target="https://oceanpanel.org/wp-content/uploads/2023/09/Ocean_Panel_Ocean_Climate_Solutions_Update_Full.pdf" TargetMode="External"/><Relationship Id="rId33" Type="http://schemas.openxmlformats.org/officeDocument/2006/relationships/hyperlink" Target="https://www.irena.org/publications/2021/Oct/A-Pathway-to-Decarbonise-the-Shipping-Sector-by-2050" TargetMode="External"/><Relationship Id="rId38" Type="http://schemas.openxmlformats.org/officeDocument/2006/relationships/hyperlink" Target="https://oceanpanel.org/wp-content/uploads/2023/09/Ocean_Panel_Ocean_Climate_Solutions_Update_Full.pdf" TargetMode="External"/><Relationship Id="rId46" Type="http://schemas.openxmlformats.org/officeDocument/2006/relationships/hyperlink" Target="https://www.pnas.org/doi/abs/10.1073/pnas.2121705119" TargetMode="External"/><Relationship Id="rId59" Type="http://schemas.openxmlformats.org/officeDocument/2006/relationships/hyperlink" Target="https://iea.blob.core.windows.net/assets/deebef5d-0c34-4539-9d0c-10b13d840027/NetZeroby2050-ARoadmapfortheGlobalEnergySector_CORR.pdf" TargetMode="External"/><Relationship Id="rId67" Type="http://schemas.openxmlformats.org/officeDocument/2006/relationships/hyperlink" Target="https://eneroutlook.enerdata.net/forecast-world-co2-intensity-of-electricity-generation.html" TargetMode="External"/><Relationship Id="rId20" Type="http://schemas.openxmlformats.org/officeDocument/2006/relationships/hyperlink" Target="https://orsted.com/en/insights/the-fact-file/what-is-the-carbon-footprint-of-offshore-wind" TargetMode="External"/><Relationship Id="rId41" Type="http://schemas.openxmlformats.org/officeDocument/2006/relationships/hyperlink" Target="https://oceanpanel.org/wp-content/uploads/2023/09/Ocean_Panel_Ocean_Climate_Solutions_Update_Full.pdf" TargetMode="External"/><Relationship Id="rId54" Type="http://schemas.openxmlformats.org/officeDocument/2006/relationships/hyperlink" Target="https://www.nature.com/articles/s41477-022-01305-9" TargetMode="External"/><Relationship Id="rId62" Type="http://schemas.openxmlformats.org/officeDocument/2006/relationships/hyperlink" Target="https://www.ocean-energy-systems.org/publications/oes-documents/market-policy-/document/ocean-energy-and-net-zero-an-international-roadmap-to-develop-300gw-of-ocean-energy-by-2050/" TargetMode="External"/><Relationship Id="rId70" Type="http://schemas.openxmlformats.org/officeDocument/2006/relationships/hyperlink" Target="https://data.nrel.gov/submissions/183" TargetMode="External"/><Relationship Id="rId1" Type="http://schemas.openxmlformats.org/officeDocument/2006/relationships/hyperlink" Target="https://www.irena.org/Energy-Transition/Technology/Wind-energy" TargetMode="External"/><Relationship Id="rId6" Type="http://schemas.openxmlformats.org/officeDocument/2006/relationships/hyperlink" Target="https://www.nrel.gov/docs/fy23osti/84921.pdf" TargetMode="External"/><Relationship Id="rId15" Type="http://schemas.openxmlformats.org/officeDocument/2006/relationships/hyperlink" Target="https://www.mdpi.com/1996-1073/16/5/2144" TargetMode="External"/><Relationship Id="rId23" Type="http://schemas.openxmlformats.org/officeDocument/2006/relationships/hyperlink" Target="https://oceanpanel.org/wp-content/uploads/2023/09/Ocean_Panel_Ocean_Climate_Solutions_Update_Full.pdf" TargetMode="External"/><Relationship Id="rId28" Type="http://schemas.openxmlformats.org/officeDocument/2006/relationships/hyperlink" Target="https://oceanpanel.org/wp-content/uploads/2023/09/Ocean_Panel_Ocean_Climate_Solutions_Update_Full.pdf" TargetMode="External"/><Relationship Id="rId36" Type="http://schemas.openxmlformats.org/officeDocument/2006/relationships/hyperlink" Target="https://oceanpanel.org/wp-content/uploads/2023/09/Ocean_Panel_Ocean_Climate_Solutions_Update_Full.pdf" TargetMode="External"/><Relationship Id="rId49" Type="http://schemas.openxmlformats.org/officeDocument/2006/relationships/hyperlink" Target="https://www.nature.org/en-us/newsroom/new-markets-could-catalyze-seaweed-regenerative-potential-on-land-and-sear/" TargetMode="External"/><Relationship Id="rId57" Type="http://schemas.openxmlformats.org/officeDocument/2006/relationships/hyperlink" Target="https://www.osti.gov/biblio/2202642" TargetMode="External"/><Relationship Id="rId10" Type="http://schemas.openxmlformats.org/officeDocument/2006/relationships/hyperlink" Target="https://www.makai.com/faq/" TargetMode="External"/><Relationship Id="rId31" Type="http://schemas.openxmlformats.org/officeDocument/2006/relationships/hyperlink" Target="https://www.irena.org/publications/2021/Oct/A-Pathway-to-Decarbonise-the-Shipping-Sector-by-2050" TargetMode="External"/><Relationship Id="rId44" Type="http://schemas.openxmlformats.org/officeDocument/2006/relationships/hyperlink" Target="https://www.worldbank.org/en/topic/environment/publication/global-seaweed-new-and-emerging-markets-report-2023" TargetMode="External"/><Relationship Id="rId52" Type="http://schemas.openxmlformats.org/officeDocument/2006/relationships/hyperlink" Target="https://www.nature.com/articles/s41477-022-01305-9" TargetMode="External"/><Relationship Id="rId60" Type="http://schemas.openxmlformats.org/officeDocument/2006/relationships/hyperlink" Target="https://www.ocean-energy-systems.org/publications/oes-documents/market-policy-/document/ocean-energy-and-net-zero-an-international-roadmap-to-develop-300gw-of-ocean-energy-by-2050/" TargetMode="External"/><Relationship Id="rId65" Type="http://schemas.openxmlformats.org/officeDocument/2006/relationships/hyperlink" Target="https://www.pnas.org/doi/abs/10.1073/pnas.2121705119" TargetMode="External"/><Relationship Id="rId4" Type="http://schemas.openxmlformats.org/officeDocument/2006/relationships/hyperlink" Target="https://hbs.unctad.org/world-seaborne-trade/" TargetMode="External"/><Relationship Id="rId9" Type="http://schemas.openxmlformats.org/officeDocument/2006/relationships/hyperlink" Target="https://www.nrel.gov/docs/fy23osti/84921.pdf" TargetMode="External"/><Relationship Id="rId13" Type="http://schemas.openxmlformats.org/officeDocument/2006/relationships/hyperlink" Target="https://www.mdpi.com/1996-1073/16/5/2144" TargetMode="External"/><Relationship Id="rId18" Type="http://schemas.openxmlformats.org/officeDocument/2006/relationships/hyperlink" Target="https://www.sciencedirect.com/science/article/pii/S0306261921012149" TargetMode="External"/><Relationship Id="rId39" Type="http://schemas.openxmlformats.org/officeDocument/2006/relationships/hyperlink" Target="https://oceanpanel.org/wp-content/uploads/2023/09/Ocean_Panel_Ocean_Climate_Solutions_Update_Full.pdf" TargetMode="External"/><Relationship Id="rId34" Type="http://schemas.openxmlformats.org/officeDocument/2006/relationships/hyperlink" Target="https://oceanpanel.org/wp-content/uploads/2023/09/Ocean_Panel_Ocean_Climate_Solutions_Update_Full.pdf" TargetMode="External"/><Relationship Id="rId50" Type="http://schemas.openxmlformats.org/officeDocument/2006/relationships/hyperlink" Target="https://www.nature.org/en-us/newsroom/new-markets-could-catalyze-seaweed-regenerative-potential-on-land-and-sear/" TargetMode="External"/><Relationship Id="rId55" Type="http://schemas.openxmlformats.org/officeDocument/2006/relationships/hyperlink" Target="https://www.osti.gov/biblio/2202642"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mckinsey.com/industries/electric-power-and-natural-gas/our-insights/how-to-succeed-in-the-expanding-global-offshore-wind-market" TargetMode="External"/><Relationship Id="rId13" Type="http://schemas.openxmlformats.org/officeDocument/2006/relationships/hyperlink" Target="https://www.nrel.gov/docs/fy23osti/84921.pdf" TargetMode="External"/><Relationship Id="rId3" Type="http://schemas.openxmlformats.org/officeDocument/2006/relationships/hyperlink" Target="https://www.sciencedirect.com/science/article/pii/S0306261921012149" TargetMode="External"/><Relationship Id="rId7" Type="http://schemas.openxmlformats.org/officeDocument/2006/relationships/hyperlink" Target="https://nationaloffshorewind.org/wp-content/uploads/147502_Final-Report.pdf" TargetMode="External"/><Relationship Id="rId12" Type="http://schemas.openxmlformats.org/officeDocument/2006/relationships/hyperlink" Target="https://www.irena.org/events/2022/Feb/Accelerating-the-development-of-OTEC-in-Small-Island-Developing-States-meeting" TargetMode="External"/><Relationship Id="rId2" Type="http://schemas.openxmlformats.org/officeDocument/2006/relationships/hyperlink" Target="https://royalsocietypublishing.org/doi/10.1098/rspa.2021.0469" TargetMode="External"/><Relationship Id="rId1" Type="http://schemas.openxmlformats.org/officeDocument/2006/relationships/hyperlink" Target="https://www.makai.com/faq/" TargetMode="External"/><Relationship Id="rId6" Type="http://schemas.openxmlformats.org/officeDocument/2006/relationships/hyperlink" Target="https://orsted.com/en/insights/the-fact-file/what-is-the-carbon-footprint-of-offshore-wind" TargetMode="External"/><Relationship Id="rId11" Type="http://schemas.openxmlformats.org/officeDocument/2006/relationships/hyperlink" Target="https://www.un.org/sites/un2.un.org/files/2021/09/irena_and_gwec_offshore_wind_energy_compact_-_final_1.pdf" TargetMode="External"/><Relationship Id="rId5" Type="http://schemas.openxmlformats.org/officeDocument/2006/relationships/hyperlink" Target="https://research.tudelft.nl/en/publications/shifting-wave-energy-perceptions-the-case-for-wave-energy-convert" TargetMode="External"/><Relationship Id="rId10" Type="http://schemas.openxmlformats.org/officeDocument/2006/relationships/hyperlink" Target="https://www.sciencedirect.com/science/article/pii/S0306261921012149" TargetMode="External"/><Relationship Id="rId4" Type="http://schemas.openxmlformats.org/officeDocument/2006/relationships/hyperlink" Target="https://www.sciencedirect.com/science/article/pii/S0306261921012149" TargetMode="External"/><Relationship Id="rId9" Type="http://schemas.openxmlformats.org/officeDocument/2006/relationships/hyperlink" Target="https://royalsocietypublishing.org/doi/10.1098/rspa.2021.0469" TargetMode="External"/><Relationship Id="rId14" Type="http://schemas.openxmlformats.org/officeDocument/2006/relationships/hyperlink" Target="https://www.mmjdaily.com/article/9647782/carbon-footprint-floating-solar-energy-systems-similar-to-land-systems/"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https://link.springer.com/article/10.1007/s40722-023-00301-1" TargetMode="External"/><Relationship Id="rId1" Type="http://schemas.openxmlformats.org/officeDocument/2006/relationships/hyperlink" Target="https://www.sciencedirect.com/science/article/pii/S1364032122000168" TargetMode="External"/></Relationships>
</file>

<file path=xl/worksheets/_rels/sheet17.xml.rels><?xml version="1.0" encoding="UTF-8" standalone="yes"?>
<Relationships xmlns="http://schemas.openxmlformats.org/package/2006/relationships"><Relationship Id="rId2" Type="http://schemas.openxmlformats.org/officeDocument/2006/relationships/hyperlink" Target="https://eneroutlook.enerdata.net/forecast-world-co2-intensity-of-electricity-generation.html" TargetMode="External"/><Relationship Id="rId1" Type="http://schemas.openxmlformats.org/officeDocument/2006/relationships/hyperlink" Target="https://data.nrel.gov/submissions/183"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s://www.woodmac.com/news/opinion/global-deepwater-production-to-increase-60/" TargetMode="External"/><Relationship Id="rId2" Type="http://schemas.openxmlformats.org/officeDocument/2006/relationships/hyperlink" Target="https://www.irena.org/publications/2021/Jul/Offshore-Renewables-An-Action-Agenda-for-Deployment" TargetMode="External"/><Relationship Id="rId1" Type="http://schemas.openxmlformats.org/officeDocument/2006/relationships/hyperlink" Target="https://www.irena.org/Energy-Transition/Technology/Wind-energy" TargetMode="External"/><Relationship Id="rId5" Type="http://schemas.openxmlformats.org/officeDocument/2006/relationships/hyperlink" Target="https://www.dnv.com/focus-areas/offshore-aquaculture/marine-aquaculture-forecast/" TargetMode="External"/><Relationship Id="rId4" Type="http://schemas.openxmlformats.org/officeDocument/2006/relationships/hyperlink" Target="https://hbs.unctad.org/world-seaborne-trade/" TargetMode="External"/></Relationships>
</file>

<file path=xl/worksheets/_rels/sheet19.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energy.gov/eere/water/advantages-marine-energy" TargetMode="External"/><Relationship Id="rId13" Type="http://schemas.openxmlformats.org/officeDocument/2006/relationships/hyperlink" Target="https://www.gminsights.com/industry-analysis/offshore-wind-energy-market" TargetMode="External"/><Relationship Id="rId18" Type="http://schemas.openxmlformats.org/officeDocument/2006/relationships/hyperlink" Target="https://market.us/report/tidal-power-generation-market/" TargetMode="External"/><Relationship Id="rId26" Type="http://schemas.openxmlformats.org/officeDocument/2006/relationships/hyperlink" Target="https://www.gminsights.com/industry-analysis/marine-energy-market" TargetMode="External"/><Relationship Id="rId3" Type="http://schemas.openxmlformats.org/officeDocument/2006/relationships/hyperlink" Target="https://www.sphericalinsights.com/reports/wave-energy-market" TargetMode="External"/><Relationship Id="rId21" Type="http://schemas.openxmlformats.org/officeDocument/2006/relationships/hyperlink" Target="https://www.irena.org/publications/2020/Dec/Innovation-Outlook-Ocean-Energy-Technologies" TargetMode="External"/><Relationship Id="rId7" Type="http://schemas.openxmlformats.org/officeDocument/2006/relationships/hyperlink" Target="https://www.energy.gov/eere/water/advantages-marine-energy" TargetMode="External"/><Relationship Id="rId12" Type="http://schemas.openxmlformats.org/officeDocument/2006/relationships/hyperlink" Target="https://www.energy.gov/eere/water/advantages-marine-energy" TargetMode="External"/><Relationship Id="rId17" Type="http://schemas.openxmlformats.org/officeDocument/2006/relationships/hyperlink" Target="https://www.irena.org/publications/2020/Dec/Innovation-Outlook-Ocean-Energy-Technologies" TargetMode="External"/><Relationship Id="rId25" Type="http://schemas.openxmlformats.org/officeDocument/2006/relationships/hyperlink" Target="https://www.globalinsightservices.com/reports/ocean-thermal-energy-conversion-plant-market/" TargetMode="External"/><Relationship Id="rId2" Type="http://schemas.openxmlformats.org/officeDocument/2006/relationships/hyperlink" Target="https://www.sphericalinsights.com/reports/wave-energy-market" TargetMode="External"/><Relationship Id="rId16" Type="http://schemas.openxmlformats.org/officeDocument/2006/relationships/hyperlink" Target="https://market.us/report/tidal-power-generation-market/" TargetMode="External"/><Relationship Id="rId20" Type="http://schemas.openxmlformats.org/officeDocument/2006/relationships/hyperlink" Target="https://www.irena.org/publications/2020/Dec/Innovation-Outlook-Ocean-Energy-Technologies" TargetMode="External"/><Relationship Id="rId1" Type="http://schemas.openxmlformats.org/officeDocument/2006/relationships/hyperlink" Target="https://oceanpanel.org/wp-content/uploads/2023/09/Ocean_Panel_Ocean_Climate_Solutions_Update_Full.pdf" TargetMode="External"/><Relationship Id="rId6" Type="http://schemas.openxmlformats.org/officeDocument/2006/relationships/hyperlink" Target="https://www.americangeosciences.org/critical-issues/faq/what-are-advantages-and-disadvantages-offshore-wind-farms" TargetMode="External"/><Relationship Id="rId11" Type="http://schemas.openxmlformats.org/officeDocument/2006/relationships/hyperlink" Target="https://www.energy.gov/eere/water/advantages-marine-energy" TargetMode="External"/><Relationship Id="rId24" Type="http://schemas.openxmlformats.org/officeDocument/2006/relationships/hyperlink" Target="https://oceanpanel.org/wp-content/uploads/2023/09/Full-Report_Ocean-Climate-Solutions-Update-1.pdf" TargetMode="External"/><Relationship Id="rId5" Type="http://schemas.openxmlformats.org/officeDocument/2006/relationships/hyperlink" Target="https://www.gminsights.com/industry-analysis/offshore-wind-energy-market" TargetMode="External"/><Relationship Id="rId15" Type="http://schemas.openxmlformats.org/officeDocument/2006/relationships/hyperlink" Target="https://market.us/report/tidal-power-generation-market/" TargetMode="External"/><Relationship Id="rId23" Type="http://schemas.openxmlformats.org/officeDocument/2006/relationships/hyperlink" Target="https://www.precedenceresearch.com/floating-solar-market" TargetMode="External"/><Relationship Id="rId28" Type="http://schemas.openxmlformats.org/officeDocument/2006/relationships/printerSettings" Target="../printerSettings/printerSettings2.bin"/><Relationship Id="rId10" Type="http://schemas.openxmlformats.org/officeDocument/2006/relationships/hyperlink" Target="https://www.energy.gov/eere/water/advantages-marine-energy" TargetMode="External"/><Relationship Id="rId19" Type="http://schemas.openxmlformats.org/officeDocument/2006/relationships/hyperlink" Target="https://market.us/report/tidal-power-generation-market/" TargetMode="External"/><Relationship Id="rId4" Type="http://schemas.openxmlformats.org/officeDocument/2006/relationships/hyperlink" Target="https://www.globalinsightservices.com/reports/ocean-thermal-energy-conversion-plant-market/" TargetMode="External"/><Relationship Id="rId9" Type="http://schemas.openxmlformats.org/officeDocument/2006/relationships/hyperlink" Target="https://www.energy.gov/eere/water/advantages-marine-energy" TargetMode="External"/><Relationship Id="rId14" Type="http://schemas.openxmlformats.org/officeDocument/2006/relationships/hyperlink" Target="https://snmrec.fau.edu/ocean-energy/ocean-energy-industry.html" TargetMode="External"/><Relationship Id="rId22" Type="http://schemas.openxmlformats.org/officeDocument/2006/relationships/hyperlink" Target="https://www.precedenceresearch.com/floating-solar-market" TargetMode="External"/><Relationship Id="rId27" Type="http://schemas.openxmlformats.org/officeDocument/2006/relationships/hyperlink" Target="https://www.gminsights.com/industry-analysis/marine-energy-market"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ssfhub.org/resource/new-and-emerging-technologies-sustainable-fisheries-comprehensive-landscape-analysis" TargetMode="External"/><Relationship Id="rId3" Type="http://schemas.openxmlformats.org/officeDocument/2006/relationships/hyperlink" Target="https://foodforwardndcs.panda.org/food-production/implementing-sustainable-fisheries-management/" TargetMode="External"/><Relationship Id="rId7" Type="http://schemas.openxmlformats.org/officeDocument/2006/relationships/hyperlink" Target="https://oceanpanel.org/wp-content/uploads/2023/09/Ocean_Panel_Ocean_Climate_Solutions_Update_Full.pdf" TargetMode="External"/><Relationship Id="rId12" Type="http://schemas.openxmlformats.org/officeDocument/2006/relationships/hyperlink" Target="https://ift.onlinelibrary.wiley.com/doi/10.1111/1541-4337.13281" TargetMode="External"/><Relationship Id="rId2" Type="http://schemas.openxmlformats.org/officeDocument/2006/relationships/hyperlink" Target="https://foodforwardndcs.panda.org/food-production/implementing-sustainable-aquaculture-management-systems/" TargetMode="External"/><Relationship Id="rId1" Type="http://schemas.openxmlformats.org/officeDocument/2006/relationships/hyperlink" Target="https://www.credenceresearch.com/report/sustainable-seafood-market" TargetMode="External"/><Relationship Id="rId6" Type="http://schemas.openxmlformats.org/officeDocument/2006/relationships/hyperlink" Target="https://iifiir.org/en/fridoc/the-state-of-world-fisheries-and-aquaculture-2024-blue-transformation-149150" TargetMode="External"/><Relationship Id="rId11" Type="http://schemas.openxmlformats.org/officeDocument/2006/relationships/hyperlink" Target="https://wwwcdn.imo.org/localresources/en/MediaCentre/HotTopics/Documents/Technology%20Matrix.pdf?utm_source=chatgpt.com" TargetMode="External"/><Relationship Id="rId5" Type="http://schemas.openxmlformats.org/officeDocument/2006/relationships/hyperlink" Target="https://www.infiniumglobalresearch.com/market-reports/global-sustainable-aquaculture-market" TargetMode="External"/><Relationship Id="rId10" Type="http://schemas.openxmlformats.org/officeDocument/2006/relationships/hyperlink" Target="https://www.credenceresearch.com/report/sustainable-seafood-market" TargetMode="External"/><Relationship Id="rId4" Type="http://schemas.openxmlformats.org/officeDocument/2006/relationships/hyperlink" Target="https://www.gminsights.com/industry-analysis/marine-derived-proteins-market" TargetMode="External"/><Relationship Id="rId9" Type="http://schemas.openxmlformats.org/officeDocument/2006/relationships/hyperlink" Target="https://ift.onlinelibrary.wiley.com/doi/10.1111/1541-4337.1328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strategyand.pwc.com/n1/en/digitalization-maritime-industry.html" TargetMode="External"/><Relationship Id="rId13" Type="http://schemas.openxmlformats.org/officeDocument/2006/relationships/hyperlink" Target="https://wwwcdn.imo.org/localresources/en/MediaCentre/HotTopics/Documents/Technology%20Matrix.pdf?utm_source=chatgpt.com" TargetMode="External"/><Relationship Id="rId3" Type="http://schemas.openxmlformats.org/officeDocument/2006/relationships/hyperlink" Target="https://wwwcdn.imo.org/localresources/en/MediaCentre/HotTopics/Documents/Technology%20Matrix.pdf" TargetMode="External"/><Relationship Id="rId7" Type="http://schemas.openxmlformats.org/officeDocument/2006/relationships/hyperlink" Target="https://www.thebusinessresearchcompany.com/report/marine-hybrid-propulsion-global-market-report" TargetMode="External"/><Relationship Id="rId12" Type="http://schemas.openxmlformats.org/officeDocument/2006/relationships/hyperlink" Target="https://www.marketsandmarkets.com/Market-Reports/marine-onboard-communication-control-systems-market-25117530.html" TargetMode="External"/><Relationship Id="rId2" Type="http://schemas.openxmlformats.org/officeDocument/2006/relationships/hyperlink" Target="https://eep.aspeninstitute.org/ideasandaction/5-co-benefits-of-decarbonizing-maritime-shipping" TargetMode="External"/><Relationship Id="rId1" Type="http://schemas.openxmlformats.org/officeDocument/2006/relationships/hyperlink" Target="https://www.bing.com/ck/a?!&amp;&amp;p=9635e9e799c59a2b5904a6dd2018c0b701aff4e4c3373beb314c76761d6c67c6JmltdHM9MTczODEwODgwMA&amp;ptn=3&amp;ver=2&amp;hsh=4&amp;fclid=3f3a74c2-3e5e-6940-003a-60233fe968a1&amp;psq=oxford+research+innovation+needs&amp;u=a1aHR0cHM6Ly9taXNzaW9uLWlubm92YXRpb24ubmV0L3dwLWNvbnRlbnQvdXBsb2Fkcy8yMDIxLzExL1RFQ0hOSUNBTC1SRVBPUlRfSW5ub3ZhdGlvbi1uZWVkcy1mb3ItZGVjYXJib25pemF0aW9uLW9mLXNoaXBwaW5nLnBkZg&amp;ntb=1" TargetMode="External"/><Relationship Id="rId6" Type="http://schemas.openxmlformats.org/officeDocument/2006/relationships/hyperlink" Target="https://eep.aspeninstitute.org/ideasandaction/5-co-benefits-of-decarbonizing-maritime-shipping" TargetMode="External"/><Relationship Id="rId11" Type="http://schemas.openxmlformats.org/officeDocument/2006/relationships/hyperlink" Target="https://wwwcdn.imo.org/localresources/en/MediaCentre/HotTopics/Documents/Technology%20Matrix.pdf?utm_source=chatgpt.com" TargetMode="External"/><Relationship Id="rId5" Type="http://schemas.openxmlformats.org/officeDocument/2006/relationships/hyperlink" Target="https://www.lr.org/en/knowledge/horizons/march-2024/smooth-operators/" TargetMode="External"/><Relationship Id="rId10" Type="http://schemas.openxmlformats.org/officeDocument/2006/relationships/hyperlink" Target="https://www.marketdataforecast.com/market-reports/sustainable-marine-fuels-market" TargetMode="External"/><Relationship Id="rId4" Type="http://schemas.openxmlformats.org/officeDocument/2006/relationships/hyperlink" Target="https://www.marketdataforecast.com/market-reports/sustainable-marine-fuels-market" TargetMode="External"/><Relationship Id="rId9" Type="http://schemas.openxmlformats.org/officeDocument/2006/relationships/hyperlink" Target="https://eep.aspeninstitute.org/ideasandaction/5-co-benefits-of-decarbonizing-maritime-shipping"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iopscience.iop.org/article/10.1088/1748-9326/ab7d06/meta" TargetMode="External"/><Relationship Id="rId13" Type="http://schemas.openxmlformats.org/officeDocument/2006/relationships/hyperlink" Target="https://www.researchgate.net/publication/371126789_The_distribution_of_global_tidal_marshes_from_earth_observation_data" TargetMode="External"/><Relationship Id="rId3" Type="http://schemas.openxmlformats.org/officeDocument/2006/relationships/hyperlink" Target="https://oceanpanel.org/wp-content/uploads/2023/09/Ocean_Panel_Ocean_Climate_Solutions_Update_Full.pdf" TargetMode="External"/><Relationship Id="rId7" Type="http://schemas.openxmlformats.org/officeDocument/2006/relationships/hyperlink" Target="https://oceanpanel.org/wp-content/uploads/2023/09/Ocean_Panel_Ocean_Climate_Solutions_Update_Full.pdf" TargetMode="External"/><Relationship Id="rId12" Type="http://schemas.openxmlformats.org/officeDocument/2006/relationships/hyperlink" Target="https://www.nature.com/articles/s41467-023-37385-0" TargetMode="External"/><Relationship Id="rId2" Type="http://schemas.openxmlformats.org/officeDocument/2006/relationships/hyperlink" Target="https://oursharedseas.com/funding/" TargetMode="External"/><Relationship Id="rId1" Type="http://schemas.openxmlformats.org/officeDocument/2006/relationships/hyperlink" Target="https://reliefweb.int/report/world/state-finance-nature-time-act-doubling-investment-2025-and-eliminating-nature-negative-finance-flows" TargetMode="External"/><Relationship Id="rId6" Type="http://schemas.openxmlformats.org/officeDocument/2006/relationships/hyperlink" Target="https://oceanpanel.org/wp-content/uploads/2023/09/Ocean_Panel_Ocean_Climate_Solutions_Update_Full.pdf" TargetMode="External"/><Relationship Id="rId11" Type="http://schemas.openxmlformats.org/officeDocument/2006/relationships/hyperlink" Target="https://www.cabidigitallibrary.org/doi/full/10.5555/20153009442" TargetMode="External"/><Relationship Id="rId5" Type="http://schemas.openxmlformats.org/officeDocument/2006/relationships/hyperlink" Target="https://oceanpanel.org/wp-content/uploads/2023/09/Ocean_Panel_Ocean_Climate_Solutions_Update_Full.pdf" TargetMode="External"/><Relationship Id="rId15" Type="http://schemas.openxmlformats.org/officeDocument/2006/relationships/hyperlink" Target="https://repository.library.noaa.gov/view/noaa/38545" TargetMode="External"/><Relationship Id="rId10" Type="http://schemas.openxmlformats.org/officeDocument/2006/relationships/hyperlink" Target="https://link.springer.com/article/10.1007/s13280-022-01811-2" TargetMode="External"/><Relationship Id="rId4" Type="http://schemas.openxmlformats.org/officeDocument/2006/relationships/hyperlink" Target="https://oceanpanel.org/wp-content/uploads/2023/09/Ocean_Panel_Ocean_Climate_Solutions_Update_Full.pdf" TargetMode="External"/><Relationship Id="rId9" Type="http://schemas.openxmlformats.org/officeDocument/2006/relationships/hyperlink" Target="https://www.sciencedirect.com/science/article/pii/S2212041616300316" TargetMode="External"/><Relationship Id="rId14" Type="http://schemas.openxmlformats.org/officeDocument/2006/relationships/hyperlink" Target="https://journals.plos.org/plosone/article?id=10.1371/journal.pone.0257244"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worldbank.org/en/topic/environment/publication/global-seaweed-new-and-emerging-markets-report-2023" TargetMode="External"/><Relationship Id="rId3" Type="http://schemas.openxmlformats.org/officeDocument/2006/relationships/hyperlink" Target="https://phyconomy.net/wp-content/uploads/2024/12/opinion-biostimulants-japh.pdf" TargetMode="External"/><Relationship Id="rId7" Type="http://schemas.openxmlformats.org/officeDocument/2006/relationships/hyperlink" Target="https://www.worldbank.org/en/topic/environment/publication/global-seaweed-new-and-emerging-markets-report-2023" TargetMode="External"/><Relationship Id="rId2" Type="http://schemas.openxmlformats.org/officeDocument/2006/relationships/hyperlink" Target="https://phyconomy.net/wp-content/uploads/2024/12/opinion-biostimulants-japh.pdf" TargetMode="External"/><Relationship Id="rId1" Type="http://schemas.openxmlformats.org/officeDocument/2006/relationships/hyperlink" Target="https://phyconomy.net/articles/2022-seaweed-review/" TargetMode="External"/><Relationship Id="rId6" Type="http://schemas.openxmlformats.org/officeDocument/2006/relationships/hyperlink" Target="https://www.sciencedirect.com/science/article/abs/pii/S0308597X23002804" TargetMode="External"/><Relationship Id="rId11" Type="http://schemas.openxmlformats.org/officeDocument/2006/relationships/hyperlink" Target="https://research.wur.nl/en/projects/developing-the-next-generation-macro-algae-based-biofuels-for-tra" TargetMode="External"/><Relationship Id="rId5" Type="http://schemas.openxmlformats.org/officeDocument/2006/relationships/hyperlink" Target="https://www.sciencedirect.com/science/article/abs/pii/S0308597X23002804" TargetMode="External"/><Relationship Id="rId10" Type="http://schemas.openxmlformats.org/officeDocument/2006/relationships/hyperlink" Target="https://www.worldbank.org/en/topic/environment/publication/global-seaweed-new-and-emerging-markets-report-2023" TargetMode="External"/><Relationship Id="rId4" Type="http://schemas.openxmlformats.org/officeDocument/2006/relationships/hyperlink" Target="https://www.sciencedirect.com/science/article/abs/pii/S0308597X23002804" TargetMode="External"/><Relationship Id="rId9" Type="http://schemas.openxmlformats.org/officeDocument/2006/relationships/hyperlink" Target="https://www.worldbank.org/en/topic/environment/publication/global-seaweed-new-and-emerging-markets-report-2023"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news.mongabay.com/2023/05/as-exxon-bows-out-industry-takes-step-toward-sustainable-algae-biofuels/" TargetMode="External"/><Relationship Id="rId2" Type="http://schemas.openxmlformats.org/officeDocument/2006/relationships/hyperlink" Target="https://journals.plos.org/plosbiology/article?id=10.1371/journal.pbio.3002063" TargetMode="External"/><Relationship Id="rId1" Type="http://schemas.openxmlformats.org/officeDocument/2006/relationships/hyperlink" Target="https://www.mdpi.com/1996-1073/16/1/81" TargetMode="External"/><Relationship Id="rId5" Type="http://schemas.openxmlformats.org/officeDocument/2006/relationships/hyperlink" Target="https://straitsresearch.com/report/algae-biofuel-market" TargetMode="External"/><Relationship Id="rId4" Type="http://schemas.openxmlformats.org/officeDocument/2006/relationships/hyperlink" Target="https://straitsresearch.com/report/algae-biofuel-mark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carbonbrief.org/analysis-uks-record-breaking-renewable-auction-will-cut-consumer-bills/" TargetMode="External"/><Relationship Id="rId2" Type="http://schemas.openxmlformats.org/officeDocument/2006/relationships/hyperlink" Target="https://www.rechargenews.com/wind/chinas-offshore-wind-boom-drives-costs-down-to-match-coal/2-1-1465110" TargetMode="External"/><Relationship Id="rId1" Type="http://schemas.openxmlformats.org/officeDocument/2006/relationships/hyperlink" Target="https://www.gminsights.com/industry-analysis/offshore-wind-energy-market" TargetMode="External"/><Relationship Id="rId5" Type="http://schemas.openxmlformats.org/officeDocument/2006/relationships/hyperlink" Target="https://usesilo.com/blog/how-much-is-the-fishing-industry-worth-in-2024;" TargetMode="External"/><Relationship Id="rId4" Type="http://schemas.openxmlformats.org/officeDocument/2006/relationships/hyperlink" Target="https://www.spglobal.com/commodity-insights/en/news-research/latest-news/shipping/092823-alternative-marine-fuels-monthly-market-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5A4B9-C2F0-4919-A7BB-DD8DF678B26C}">
  <dimension ref="A1:D236"/>
  <sheetViews>
    <sheetView tabSelected="1" topLeftCell="C220" zoomScale="80" zoomScaleNormal="80" workbookViewId="0">
      <selection activeCell="C228" sqref="C228"/>
    </sheetView>
  </sheetViews>
  <sheetFormatPr defaultColWidth="8.81640625" defaultRowHeight="14.5" x14ac:dyDescent="0.35"/>
  <cols>
    <col min="1" max="1" width="76.1796875" style="126" customWidth="1"/>
    <col min="2" max="2" width="151.453125" style="126" bestFit="1" customWidth="1"/>
    <col min="3" max="3" width="88.453125" style="380" customWidth="1"/>
    <col min="4" max="4" width="51" style="389" customWidth="1"/>
  </cols>
  <sheetData>
    <row r="1" spans="1:4" ht="23.5" customHeight="1" x14ac:dyDescent="0.35">
      <c r="A1" s="416" t="s">
        <v>0</v>
      </c>
      <c r="B1" s="416"/>
      <c r="C1" s="416"/>
      <c r="D1" s="416"/>
    </row>
    <row r="2" spans="1:4" x14ac:dyDescent="0.35">
      <c r="A2" s="417" t="s">
        <v>1</v>
      </c>
      <c r="B2" s="417"/>
      <c r="C2" s="417"/>
      <c r="D2" s="417"/>
    </row>
    <row r="3" spans="1:4" ht="14.5" customHeight="1" x14ac:dyDescent="0.35">
      <c r="A3" s="418" t="s">
        <v>2</v>
      </c>
      <c r="B3" s="418"/>
      <c r="C3" s="418"/>
      <c r="D3" s="418"/>
    </row>
    <row r="4" spans="1:4" x14ac:dyDescent="0.35">
      <c r="A4" s="419" t="s">
        <v>3</v>
      </c>
      <c r="B4" s="419"/>
      <c r="C4" s="419"/>
      <c r="D4" s="419"/>
    </row>
    <row r="5" spans="1:4" x14ac:dyDescent="0.35">
      <c r="A5" s="125" t="s">
        <v>4</v>
      </c>
      <c r="B5" s="125"/>
      <c r="C5" s="379"/>
      <c r="D5" s="125"/>
    </row>
    <row r="6" spans="1:4" ht="14.5" customHeight="1" x14ac:dyDescent="0.35">
      <c r="A6" s="418" t="s">
        <v>5</v>
      </c>
      <c r="B6" s="418"/>
      <c r="C6" s="418"/>
      <c r="D6" s="418"/>
    </row>
    <row r="7" spans="1:4" ht="14.5" customHeight="1" x14ac:dyDescent="0.35">
      <c r="A7" s="418" t="s">
        <v>6</v>
      </c>
      <c r="B7" s="418"/>
      <c r="C7" s="418"/>
      <c r="D7" s="418"/>
    </row>
    <row r="8" spans="1:4" ht="28.5" x14ac:dyDescent="0.35">
      <c r="A8" s="347" t="s">
        <v>7</v>
      </c>
    </row>
    <row r="9" spans="1:4" s="77" customFormat="1" ht="15.5" x14ac:dyDescent="0.35">
      <c r="A9" s="127" t="s">
        <v>8</v>
      </c>
      <c r="B9" s="127" t="s">
        <v>9</v>
      </c>
      <c r="C9" s="127" t="s">
        <v>10</v>
      </c>
      <c r="D9" s="390" t="s">
        <v>11</v>
      </c>
    </row>
    <row r="10" spans="1:4" ht="19.5" x14ac:dyDescent="0.35">
      <c r="A10" s="414" t="s">
        <v>12</v>
      </c>
      <c r="B10" s="414"/>
      <c r="C10" s="414"/>
      <c r="D10" s="414"/>
    </row>
    <row r="11" spans="1:4" ht="29" x14ac:dyDescent="0.35">
      <c r="A11" s="128" t="s">
        <v>13</v>
      </c>
      <c r="B11" s="129" t="s">
        <v>14</v>
      </c>
      <c r="C11" s="385" t="s">
        <v>15</v>
      </c>
      <c r="D11" s="129" t="s">
        <v>16</v>
      </c>
    </row>
    <row r="12" spans="1:4" ht="43.5" x14ac:dyDescent="0.35">
      <c r="A12" s="130" t="s">
        <v>17</v>
      </c>
      <c r="B12" s="129" t="s">
        <v>18</v>
      </c>
      <c r="C12" s="382" t="s">
        <v>19</v>
      </c>
      <c r="D12" s="391" t="s">
        <v>20</v>
      </c>
    </row>
    <row r="13" spans="1:4" ht="43.5" x14ac:dyDescent="0.35">
      <c r="A13" s="130" t="s">
        <v>21</v>
      </c>
      <c r="B13" s="129" t="s">
        <v>22</v>
      </c>
      <c r="C13" s="382" t="s">
        <v>23</v>
      </c>
      <c r="D13" s="391" t="s">
        <v>24</v>
      </c>
    </row>
    <row r="14" spans="1:4" ht="43.5" x14ac:dyDescent="0.35">
      <c r="A14" s="130" t="s">
        <v>25</v>
      </c>
      <c r="B14" s="129" t="s">
        <v>26</v>
      </c>
      <c r="C14" s="382" t="s">
        <v>27</v>
      </c>
      <c r="D14" s="391" t="s">
        <v>28</v>
      </c>
    </row>
    <row r="15" spans="1:4" ht="43.5" x14ac:dyDescent="0.35">
      <c r="A15" s="130" t="s">
        <v>29</v>
      </c>
      <c r="B15" s="129" t="s">
        <v>30</v>
      </c>
      <c r="C15" s="382" t="s">
        <v>31</v>
      </c>
      <c r="D15" s="391" t="s">
        <v>32</v>
      </c>
    </row>
    <row r="16" spans="1:4" ht="43.5" x14ac:dyDescent="0.35">
      <c r="A16" s="130" t="s">
        <v>33</v>
      </c>
      <c r="B16" s="129" t="s">
        <v>34</v>
      </c>
      <c r="C16" s="382" t="s">
        <v>35</v>
      </c>
      <c r="D16" s="391" t="s">
        <v>36</v>
      </c>
    </row>
    <row r="17" spans="1:4" ht="19.5" x14ac:dyDescent="0.35">
      <c r="A17" s="413" t="s">
        <v>37</v>
      </c>
      <c r="B17" s="413"/>
      <c r="C17" s="413"/>
      <c r="D17" s="413"/>
    </row>
    <row r="18" spans="1:4" x14ac:dyDescent="0.35">
      <c r="A18" s="415" t="s">
        <v>38</v>
      </c>
      <c r="B18" s="415"/>
      <c r="C18" s="415"/>
      <c r="D18" s="415"/>
    </row>
    <row r="19" spans="1:4" ht="43.5" x14ac:dyDescent="0.35">
      <c r="A19" s="130" t="s">
        <v>39</v>
      </c>
      <c r="B19" s="129" t="s">
        <v>40</v>
      </c>
      <c r="C19" s="387" t="s">
        <v>41</v>
      </c>
      <c r="D19" s="391" t="s">
        <v>42</v>
      </c>
    </row>
    <row r="20" spans="1:4" ht="29" x14ac:dyDescent="0.35">
      <c r="A20" s="130" t="s">
        <v>43</v>
      </c>
      <c r="B20" s="129" t="s">
        <v>44</v>
      </c>
      <c r="C20" s="387" t="s">
        <v>41</v>
      </c>
      <c r="D20" s="391" t="s">
        <v>45</v>
      </c>
    </row>
    <row r="21" spans="1:4" ht="29" x14ac:dyDescent="0.35">
      <c r="A21" s="130" t="s">
        <v>46</v>
      </c>
      <c r="B21" s="129" t="s">
        <v>47</v>
      </c>
      <c r="C21" s="382" t="s">
        <v>48</v>
      </c>
      <c r="D21" s="391" t="s">
        <v>49</v>
      </c>
    </row>
    <row r="22" spans="1:4" x14ac:dyDescent="0.35">
      <c r="A22" s="130" t="s">
        <v>50</v>
      </c>
      <c r="B22" s="129" t="s">
        <v>47</v>
      </c>
      <c r="C22" s="381" t="s">
        <v>51</v>
      </c>
      <c r="D22" s="391" t="s">
        <v>16</v>
      </c>
    </row>
    <row r="23" spans="1:4" ht="43.5" x14ac:dyDescent="0.35">
      <c r="A23" s="130" t="s">
        <v>52</v>
      </c>
      <c r="B23" s="129" t="s">
        <v>53</v>
      </c>
      <c r="C23" s="381" t="s">
        <v>54</v>
      </c>
      <c r="D23" s="391" t="s">
        <v>16</v>
      </c>
    </row>
    <row r="24" spans="1:4" ht="58" x14ac:dyDescent="0.35">
      <c r="A24" s="130" t="s">
        <v>55</v>
      </c>
      <c r="B24" s="129" t="s">
        <v>56</v>
      </c>
      <c r="C24" s="381" t="s">
        <v>57</v>
      </c>
      <c r="D24" s="391" t="s">
        <v>16</v>
      </c>
    </row>
    <row r="25" spans="1:4" ht="72.5" x14ac:dyDescent="0.35">
      <c r="A25" s="130" t="s">
        <v>58</v>
      </c>
      <c r="B25" s="129" t="s">
        <v>59</v>
      </c>
      <c r="C25" s="381" t="s">
        <v>60</v>
      </c>
      <c r="D25" s="391" t="s">
        <v>16</v>
      </c>
    </row>
    <row r="26" spans="1:4" ht="29" x14ac:dyDescent="0.35">
      <c r="A26" s="130" t="s">
        <v>61</v>
      </c>
      <c r="B26" s="129" t="s">
        <v>62</v>
      </c>
      <c r="C26" s="381" t="s">
        <v>63</v>
      </c>
      <c r="D26" s="391" t="s">
        <v>16</v>
      </c>
    </row>
    <row r="27" spans="1:4" ht="19.5" x14ac:dyDescent="0.35">
      <c r="A27" s="413" t="s">
        <v>64</v>
      </c>
      <c r="B27" s="413"/>
      <c r="C27" s="413"/>
      <c r="D27" s="413"/>
    </row>
    <row r="28" spans="1:4" ht="14.5" customHeight="1" x14ac:dyDescent="0.35">
      <c r="A28" s="411" t="s">
        <v>65</v>
      </c>
      <c r="B28" s="411"/>
      <c r="C28" s="411"/>
      <c r="D28" s="411"/>
    </row>
    <row r="29" spans="1:4" ht="43.5" x14ac:dyDescent="0.35">
      <c r="A29" s="131" t="s">
        <v>66</v>
      </c>
      <c r="B29" s="131" t="s">
        <v>67</v>
      </c>
      <c r="C29" s="379" t="s">
        <v>41</v>
      </c>
      <c r="D29" s="392" t="s">
        <v>68</v>
      </c>
    </row>
    <row r="30" spans="1:4" ht="43.5" x14ac:dyDescent="0.35">
      <c r="A30" s="132" t="s">
        <v>69</v>
      </c>
      <c r="B30" s="131" t="s">
        <v>70</v>
      </c>
      <c r="C30" s="379" t="s">
        <v>41</v>
      </c>
      <c r="D30" s="392" t="s">
        <v>71</v>
      </c>
    </row>
    <row r="31" spans="1:4" x14ac:dyDescent="0.35">
      <c r="A31" s="132" t="s">
        <v>72</v>
      </c>
      <c r="B31" s="131" t="s">
        <v>73</v>
      </c>
      <c r="C31" s="379" t="s">
        <v>74</v>
      </c>
      <c r="D31" s="392" t="s">
        <v>75</v>
      </c>
    </row>
    <row r="32" spans="1:4" ht="43.5" x14ac:dyDescent="0.35">
      <c r="A32" s="132" t="s">
        <v>76</v>
      </c>
      <c r="B32" s="131" t="s">
        <v>77</v>
      </c>
      <c r="C32" s="379" t="s">
        <v>41</v>
      </c>
      <c r="D32" s="392" t="s">
        <v>68</v>
      </c>
    </row>
    <row r="33" spans="1:4" ht="43.5" x14ac:dyDescent="0.35">
      <c r="A33" s="132" t="s">
        <v>78</v>
      </c>
      <c r="B33" s="131" t="s">
        <v>79</v>
      </c>
      <c r="C33" s="379" t="s">
        <v>41</v>
      </c>
      <c r="D33" s="392" t="s">
        <v>68</v>
      </c>
    </row>
    <row r="34" spans="1:4" x14ac:dyDescent="0.35">
      <c r="A34" s="131" t="s">
        <v>80</v>
      </c>
      <c r="B34" s="131" t="s">
        <v>81</v>
      </c>
      <c r="C34" s="386" t="s">
        <v>82</v>
      </c>
      <c r="D34" s="131" t="s">
        <v>16</v>
      </c>
    </row>
    <row r="35" spans="1:4" x14ac:dyDescent="0.35">
      <c r="A35" s="131" t="s">
        <v>83</v>
      </c>
      <c r="B35" s="131" t="s">
        <v>84</v>
      </c>
      <c r="C35" s="386" t="s">
        <v>85</v>
      </c>
      <c r="D35" s="131" t="s">
        <v>16</v>
      </c>
    </row>
    <row r="36" spans="1:4" ht="72.5" x14ac:dyDescent="0.35">
      <c r="A36" s="131" t="s">
        <v>86</v>
      </c>
      <c r="B36" s="131" t="s">
        <v>87</v>
      </c>
      <c r="C36" s="384" t="s">
        <v>88</v>
      </c>
      <c r="D36" s="131" t="s">
        <v>16</v>
      </c>
    </row>
    <row r="37" spans="1:4" x14ac:dyDescent="0.35">
      <c r="A37" s="131" t="s">
        <v>89</v>
      </c>
      <c r="B37" s="131" t="s">
        <v>90</v>
      </c>
      <c r="C37" s="398" t="s">
        <v>91</v>
      </c>
      <c r="D37" s="131" t="s">
        <v>16</v>
      </c>
    </row>
    <row r="38" spans="1:4" x14ac:dyDescent="0.35">
      <c r="A38" s="131" t="s">
        <v>92</v>
      </c>
      <c r="B38" s="131" t="s">
        <v>93</v>
      </c>
      <c r="C38" s="398" t="s">
        <v>94</v>
      </c>
      <c r="D38" s="131" t="s">
        <v>16</v>
      </c>
    </row>
    <row r="39" spans="1:4" ht="14.5" customHeight="1" x14ac:dyDescent="0.35">
      <c r="A39" s="412" t="s">
        <v>95</v>
      </c>
      <c r="B39" s="412"/>
      <c r="C39" s="412"/>
      <c r="D39" s="412"/>
    </row>
    <row r="40" spans="1:4" ht="43.5" x14ac:dyDescent="0.35">
      <c r="A40" s="129" t="s">
        <v>66</v>
      </c>
      <c r="B40" s="129" t="s">
        <v>67</v>
      </c>
      <c r="C40" s="387" t="s">
        <v>41</v>
      </c>
      <c r="D40" s="391" t="s">
        <v>96</v>
      </c>
    </row>
    <row r="41" spans="1:4" ht="29" x14ac:dyDescent="0.35">
      <c r="A41" s="129" t="s">
        <v>69</v>
      </c>
      <c r="B41" s="129" t="s">
        <v>70</v>
      </c>
      <c r="C41" s="387" t="s">
        <v>41</v>
      </c>
      <c r="D41" s="391" t="s">
        <v>97</v>
      </c>
    </row>
    <row r="42" spans="1:4" x14ac:dyDescent="0.35">
      <c r="A42" s="129" t="s">
        <v>72</v>
      </c>
      <c r="B42" s="129" t="s">
        <v>73</v>
      </c>
      <c r="C42" s="387" t="s">
        <v>74</v>
      </c>
      <c r="D42" s="391" t="s">
        <v>75</v>
      </c>
    </row>
    <row r="43" spans="1:4" x14ac:dyDescent="0.35">
      <c r="A43" s="129" t="s">
        <v>76</v>
      </c>
      <c r="B43" s="129" t="s">
        <v>77</v>
      </c>
      <c r="C43" s="387" t="s">
        <v>98</v>
      </c>
      <c r="D43" s="129" t="s">
        <v>16</v>
      </c>
    </row>
    <row r="44" spans="1:4" x14ac:dyDescent="0.35">
      <c r="A44" s="129" t="s">
        <v>78</v>
      </c>
      <c r="B44" s="129" t="s">
        <v>79</v>
      </c>
      <c r="C44" s="387" t="s">
        <v>99</v>
      </c>
      <c r="D44" s="129" t="s">
        <v>100</v>
      </c>
    </row>
    <row r="45" spans="1:4" x14ac:dyDescent="0.35">
      <c r="A45" s="129" t="s">
        <v>80</v>
      </c>
      <c r="B45" s="129" t="s">
        <v>81</v>
      </c>
      <c r="C45" s="387" t="s">
        <v>82</v>
      </c>
      <c r="D45" s="129" t="s">
        <v>16</v>
      </c>
    </row>
    <row r="46" spans="1:4" x14ac:dyDescent="0.35">
      <c r="A46" s="129" t="s">
        <v>83</v>
      </c>
      <c r="B46" s="129" t="s">
        <v>84</v>
      </c>
      <c r="C46" s="387" t="s">
        <v>85</v>
      </c>
      <c r="D46" s="129" t="s">
        <v>16</v>
      </c>
    </row>
    <row r="47" spans="1:4" ht="72.5" x14ac:dyDescent="0.35">
      <c r="A47" s="129" t="s">
        <v>86</v>
      </c>
      <c r="B47" s="129" t="s">
        <v>101</v>
      </c>
      <c r="C47" s="381" t="s">
        <v>102</v>
      </c>
      <c r="D47" s="129" t="s">
        <v>16</v>
      </c>
    </row>
    <row r="48" spans="1:4" x14ac:dyDescent="0.35">
      <c r="A48" s="129" t="s">
        <v>89</v>
      </c>
      <c r="B48" s="129" t="s">
        <v>90</v>
      </c>
      <c r="C48" s="387" t="s">
        <v>91</v>
      </c>
      <c r="D48" s="129" t="s">
        <v>16</v>
      </c>
    </row>
    <row r="49" spans="1:4" x14ac:dyDescent="0.35">
      <c r="A49" s="129" t="s">
        <v>92</v>
      </c>
      <c r="B49" s="129" t="s">
        <v>93</v>
      </c>
      <c r="C49" s="387" t="s">
        <v>94</v>
      </c>
      <c r="D49" s="129" t="s">
        <v>16</v>
      </c>
    </row>
    <row r="50" spans="1:4" x14ac:dyDescent="0.35">
      <c r="A50" s="405" t="s">
        <v>103</v>
      </c>
      <c r="B50" s="405"/>
      <c r="C50" s="405"/>
      <c r="D50" s="405"/>
    </row>
    <row r="51" spans="1:4" ht="43.5" x14ac:dyDescent="0.35">
      <c r="A51" s="131" t="s">
        <v>66</v>
      </c>
      <c r="B51" s="131" t="s">
        <v>67</v>
      </c>
      <c r="C51" s="379" t="s">
        <v>75</v>
      </c>
      <c r="D51" s="393" t="s">
        <v>104</v>
      </c>
    </row>
    <row r="52" spans="1:4" ht="43.5" x14ac:dyDescent="0.35">
      <c r="A52" s="132" t="s">
        <v>69</v>
      </c>
      <c r="B52" s="131" t="s">
        <v>70</v>
      </c>
      <c r="C52" s="379" t="s">
        <v>41</v>
      </c>
      <c r="D52" s="392" t="s">
        <v>71</v>
      </c>
    </row>
    <row r="53" spans="1:4" x14ac:dyDescent="0.35">
      <c r="A53" s="132" t="s">
        <v>72</v>
      </c>
      <c r="B53" s="131" t="s">
        <v>73</v>
      </c>
      <c r="C53" s="379" t="s">
        <v>74</v>
      </c>
      <c r="D53" s="392" t="s">
        <v>75</v>
      </c>
    </row>
    <row r="54" spans="1:4" x14ac:dyDescent="0.35">
      <c r="A54" s="132" t="s">
        <v>76</v>
      </c>
      <c r="B54" s="131" t="s">
        <v>77</v>
      </c>
      <c r="C54" s="379" t="s">
        <v>75</v>
      </c>
      <c r="D54" s="131"/>
    </row>
    <row r="55" spans="1:4" x14ac:dyDescent="0.35">
      <c r="A55" s="132" t="s">
        <v>78</v>
      </c>
      <c r="B55" s="131" t="s">
        <v>79</v>
      </c>
      <c r="C55" s="379" t="s">
        <v>16</v>
      </c>
      <c r="D55" s="131" t="s">
        <v>16</v>
      </c>
    </row>
    <row r="56" spans="1:4" x14ac:dyDescent="0.35">
      <c r="A56" s="131" t="s">
        <v>80</v>
      </c>
      <c r="B56" s="131" t="s">
        <v>81</v>
      </c>
      <c r="C56" s="386" t="s">
        <v>82</v>
      </c>
      <c r="D56" s="131" t="s">
        <v>16</v>
      </c>
    </row>
    <row r="57" spans="1:4" x14ac:dyDescent="0.35">
      <c r="A57" s="131" t="s">
        <v>83</v>
      </c>
      <c r="B57" s="131" t="s">
        <v>84</v>
      </c>
      <c r="C57" s="386" t="s">
        <v>85</v>
      </c>
      <c r="D57" s="131" t="s">
        <v>16</v>
      </c>
    </row>
    <row r="58" spans="1:4" ht="87" x14ac:dyDescent="0.35">
      <c r="A58" s="131" t="s">
        <v>105</v>
      </c>
      <c r="B58" s="131" t="s">
        <v>106</v>
      </c>
      <c r="C58" s="384" t="s">
        <v>107</v>
      </c>
      <c r="D58" s="131" t="s">
        <v>16</v>
      </c>
    </row>
    <row r="59" spans="1:4" x14ac:dyDescent="0.35">
      <c r="A59" s="131" t="s">
        <v>89</v>
      </c>
      <c r="B59" s="131" t="s">
        <v>90</v>
      </c>
      <c r="C59" s="398" t="s">
        <v>91</v>
      </c>
      <c r="D59" s="131" t="s">
        <v>16</v>
      </c>
    </row>
    <row r="60" spans="1:4" x14ac:dyDescent="0.35">
      <c r="A60" s="131" t="s">
        <v>92</v>
      </c>
      <c r="B60" s="131" t="s">
        <v>93</v>
      </c>
      <c r="C60" s="398" t="s">
        <v>94</v>
      </c>
      <c r="D60" s="131" t="s">
        <v>16</v>
      </c>
    </row>
    <row r="61" spans="1:4" x14ac:dyDescent="0.35">
      <c r="A61" s="401" t="s">
        <v>108</v>
      </c>
      <c r="B61" s="401"/>
      <c r="C61" s="401"/>
      <c r="D61" s="401"/>
    </row>
    <row r="62" spans="1:4" ht="43.5" x14ac:dyDescent="0.35">
      <c r="A62" s="129" t="s">
        <v>66</v>
      </c>
      <c r="B62" s="129" t="s">
        <v>67</v>
      </c>
      <c r="C62" s="387" t="s">
        <v>41</v>
      </c>
      <c r="D62" s="391" t="s">
        <v>109</v>
      </c>
    </row>
    <row r="63" spans="1:4" ht="29" x14ac:dyDescent="0.35">
      <c r="A63" s="130" t="s">
        <v>69</v>
      </c>
      <c r="B63" s="129" t="s">
        <v>110</v>
      </c>
      <c r="C63" s="387" t="s">
        <v>41</v>
      </c>
      <c r="D63" s="391" t="s">
        <v>111</v>
      </c>
    </row>
    <row r="64" spans="1:4" x14ac:dyDescent="0.35">
      <c r="A64" s="129" t="s">
        <v>72</v>
      </c>
      <c r="B64" s="130" t="s">
        <v>73</v>
      </c>
      <c r="C64" s="387" t="s">
        <v>112</v>
      </c>
      <c r="D64" s="391" t="s">
        <v>16</v>
      </c>
    </row>
    <row r="65" spans="1:4" ht="29" x14ac:dyDescent="0.35">
      <c r="A65" s="130" t="s">
        <v>76</v>
      </c>
      <c r="B65" s="129" t="s">
        <v>113</v>
      </c>
      <c r="C65" s="387" t="s">
        <v>41</v>
      </c>
      <c r="D65" s="394" t="s">
        <v>114</v>
      </c>
    </row>
    <row r="66" spans="1:4" ht="29" x14ac:dyDescent="0.35">
      <c r="A66" s="129" t="s">
        <v>78</v>
      </c>
      <c r="B66" s="129" t="s">
        <v>79</v>
      </c>
      <c r="C66" s="387" t="s">
        <v>41</v>
      </c>
      <c r="D66" s="394" t="s">
        <v>114</v>
      </c>
    </row>
    <row r="67" spans="1:4" x14ac:dyDescent="0.35">
      <c r="A67" s="129" t="s">
        <v>80</v>
      </c>
      <c r="B67" s="129" t="s">
        <v>81</v>
      </c>
      <c r="C67" s="385" t="s">
        <v>82</v>
      </c>
      <c r="D67" s="129" t="s">
        <v>16</v>
      </c>
    </row>
    <row r="68" spans="1:4" x14ac:dyDescent="0.35">
      <c r="A68" s="129" t="s">
        <v>83</v>
      </c>
      <c r="B68" s="129" t="s">
        <v>84</v>
      </c>
      <c r="C68" s="385" t="s">
        <v>85</v>
      </c>
      <c r="D68" s="129" t="s">
        <v>16</v>
      </c>
    </row>
    <row r="69" spans="1:4" ht="87" x14ac:dyDescent="0.35">
      <c r="A69" s="129" t="s">
        <v>115</v>
      </c>
      <c r="B69" s="129" t="s">
        <v>116</v>
      </c>
      <c r="C69" s="381" t="s">
        <v>117</v>
      </c>
      <c r="D69" s="129" t="s">
        <v>16</v>
      </c>
    </row>
    <row r="70" spans="1:4" x14ac:dyDescent="0.35">
      <c r="A70" s="129" t="s">
        <v>89</v>
      </c>
      <c r="B70" s="129" t="s">
        <v>90</v>
      </c>
      <c r="C70" s="399" t="s">
        <v>91</v>
      </c>
      <c r="D70" s="129" t="s">
        <v>16</v>
      </c>
    </row>
    <row r="71" spans="1:4" x14ac:dyDescent="0.35">
      <c r="A71" s="129" t="s">
        <v>92</v>
      </c>
      <c r="B71" s="129" t="s">
        <v>93</v>
      </c>
      <c r="C71" s="399" t="s">
        <v>94</v>
      </c>
      <c r="D71" s="129" t="s">
        <v>16</v>
      </c>
    </row>
    <row r="72" spans="1:4" x14ac:dyDescent="0.35">
      <c r="A72" s="405" t="s">
        <v>118</v>
      </c>
      <c r="B72" s="405"/>
      <c r="C72" s="405"/>
      <c r="D72" s="405"/>
    </row>
    <row r="73" spans="1:4" ht="43.5" x14ac:dyDescent="0.35">
      <c r="A73" s="131" t="s">
        <v>66</v>
      </c>
      <c r="B73" s="131" t="s">
        <v>67</v>
      </c>
      <c r="C73" s="379" t="s">
        <v>41</v>
      </c>
      <c r="D73" s="392" t="s">
        <v>109</v>
      </c>
    </row>
    <row r="74" spans="1:4" ht="29" x14ac:dyDescent="0.35">
      <c r="A74" s="132" t="s">
        <v>69</v>
      </c>
      <c r="B74" s="131" t="s">
        <v>110</v>
      </c>
      <c r="C74" s="379" t="s">
        <v>41</v>
      </c>
      <c r="D74" s="392" t="s">
        <v>111</v>
      </c>
    </row>
    <row r="75" spans="1:4" x14ac:dyDescent="0.35">
      <c r="A75" s="132" t="s">
        <v>72</v>
      </c>
      <c r="B75" s="131" t="s">
        <v>73</v>
      </c>
      <c r="C75" s="379" t="s">
        <v>74</v>
      </c>
      <c r="D75" s="392" t="s">
        <v>75</v>
      </c>
    </row>
    <row r="76" spans="1:4" x14ac:dyDescent="0.35">
      <c r="A76" s="132" t="s">
        <v>76</v>
      </c>
      <c r="B76" s="131" t="s">
        <v>113</v>
      </c>
      <c r="C76" s="379" t="s">
        <v>119</v>
      </c>
      <c r="D76" s="395" t="s">
        <v>16</v>
      </c>
    </row>
    <row r="77" spans="1:4" x14ac:dyDescent="0.35">
      <c r="A77" s="132" t="s">
        <v>78</v>
      </c>
      <c r="B77" s="131" t="s">
        <v>113</v>
      </c>
      <c r="C77" s="379" t="s">
        <v>120</v>
      </c>
      <c r="D77" s="395" t="s">
        <v>16</v>
      </c>
    </row>
    <row r="78" spans="1:4" x14ac:dyDescent="0.35">
      <c r="A78" s="131" t="s">
        <v>80</v>
      </c>
      <c r="B78" s="131" t="s">
        <v>81</v>
      </c>
      <c r="C78" s="386" t="s">
        <v>82</v>
      </c>
      <c r="D78" s="131" t="s">
        <v>16</v>
      </c>
    </row>
    <row r="79" spans="1:4" x14ac:dyDescent="0.35">
      <c r="A79" s="131" t="s">
        <v>83</v>
      </c>
      <c r="B79" s="131" t="s">
        <v>84</v>
      </c>
      <c r="C79" s="386" t="s">
        <v>85</v>
      </c>
      <c r="D79" s="131" t="s">
        <v>16</v>
      </c>
    </row>
    <row r="80" spans="1:4" ht="87" x14ac:dyDescent="0.35">
      <c r="A80" s="131" t="s">
        <v>115</v>
      </c>
      <c r="B80" s="131" t="s">
        <v>121</v>
      </c>
      <c r="C80" s="384" t="s">
        <v>122</v>
      </c>
      <c r="D80" s="131" t="s">
        <v>16</v>
      </c>
    </row>
    <row r="81" spans="1:4" x14ac:dyDescent="0.35">
      <c r="A81" s="131" t="s">
        <v>89</v>
      </c>
      <c r="B81" s="131" t="s">
        <v>90</v>
      </c>
      <c r="C81" s="398" t="s">
        <v>91</v>
      </c>
      <c r="D81" s="131" t="s">
        <v>16</v>
      </c>
    </row>
    <row r="82" spans="1:4" x14ac:dyDescent="0.35">
      <c r="A82" s="131" t="s">
        <v>92</v>
      </c>
      <c r="B82" s="131" t="s">
        <v>93</v>
      </c>
      <c r="C82" s="398" t="s">
        <v>94</v>
      </c>
      <c r="D82" s="131" t="s">
        <v>16</v>
      </c>
    </row>
    <row r="83" spans="1:4" x14ac:dyDescent="0.35">
      <c r="A83" s="401" t="s">
        <v>123</v>
      </c>
      <c r="B83" s="401"/>
      <c r="C83" s="401"/>
      <c r="D83" s="401"/>
    </row>
    <row r="84" spans="1:4" ht="43.5" x14ac:dyDescent="0.35">
      <c r="A84" s="129" t="s">
        <v>66</v>
      </c>
      <c r="B84" s="129" t="s">
        <v>67</v>
      </c>
      <c r="C84" s="387" t="s">
        <v>41</v>
      </c>
      <c r="D84" s="391" t="s">
        <v>124</v>
      </c>
    </row>
    <row r="85" spans="1:4" ht="29" x14ac:dyDescent="0.35">
      <c r="A85" s="130" t="s">
        <v>69</v>
      </c>
      <c r="B85" s="129" t="s">
        <v>110</v>
      </c>
      <c r="C85" s="387" t="s">
        <v>41</v>
      </c>
      <c r="D85" s="391" t="s">
        <v>111</v>
      </c>
    </row>
    <row r="86" spans="1:4" x14ac:dyDescent="0.35">
      <c r="A86" s="129" t="s">
        <v>72</v>
      </c>
      <c r="B86" s="130" t="s">
        <v>73</v>
      </c>
      <c r="C86" s="387" t="s">
        <v>112</v>
      </c>
      <c r="D86" s="391" t="s">
        <v>16</v>
      </c>
    </row>
    <row r="87" spans="1:4" ht="29" x14ac:dyDescent="0.35">
      <c r="A87" s="130" t="s">
        <v>76</v>
      </c>
      <c r="B87" s="129" t="s">
        <v>113</v>
      </c>
      <c r="C87" s="387" t="s">
        <v>41</v>
      </c>
      <c r="D87" s="394" t="s">
        <v>114</v>
      </c>
    </row>
    <row r="88" spans="1:4" ht="29" x14ac:dyDescent="0.35">
      <c r="A88" s="129" t="s">
        <v>78</v>
      </c>
      <c r="B88" s="129" t="s">
        <v>79</v>
      </c>
      <c r="C88" s="387" t="s">
        <v>41</v>
      </c>
      <c r="D88" s="394" t="s">
        <v>114</v>
      </c>
    </row>
    <row r="89" spans="1:4" x14ac:dyDescent="0.35">
      <c r="A89" s="129" t="s">
        <v>80</v>
      </c>
      <c r="B89" s="129" t="s">
        <v>81</v>
      </c>
      <c r="C89" s="385" t="s">
        <v>82</v>
      </c>
      <c r="D89" s="129" t="s">
        <v>16</v>
      </c>
    </row>
    <row r="90" spans="1:4" x14ac:dyDescent="0.35">
      <c r="A90" s="129" t="s">
        <v>83</v>
      </c>
      <c r="B90" s="129" t="s">
        <v>84</v>
      </c>
      <c r="C90" s="385" t="s">
        <v>85</v>
      </c>
      <c r="D90" s="129" t="s">
        <v>16</v>
      </c>
    </row>
    <row r="91" spans="1:4" ht="87" x14ac:dyDescent="0.35">
      <c r="A91" s="129" t="s">
        <v>115</v>
      </c>
      <c r="B91" s="129" t="s">
        <v>125</v>
      </c>
      <c r="C91" s="381" t="s">
        <v>126</v>
      </c>
      <c r="D91" s="129" t="s">
        <v>16</v>
      </c>
    </row>
    <row r="92" spans="1:4" x14ac:dyDescent="0.35">
      <c r="A92" s="129" t="s">
        <v>89</v>
      </c>
      <c r="B92" s="129" t="s">
        <v>90</v>
      </c>
      <c r="C92" s="399" t="s">
        <v>91</v>
      </c>
      <c r="D92" s="129" t="s">
        <v>16</v>
      </c>
    </row>
    <row r="93" spans="1:4" x14ac:dyDescent="0.35">
      <c r="A93" s="129" t="s">
        <v>92</v>
      </c>
      <c r="B93" s="129" t="s">
        <v>93</v>
      </c>
      <c r="C93" s="399" t="s">
        <v>94</v>
      </c>
      <c r="D93" s="129" t="s">
        <v>16</v>
      </c>
    </row>
    <row r="94" spans="1:4" x14ac:dyDescent="0.35">
      <c r="A94" s="405" t="s">
        <v>127</v>
      </c>
      <c r="B94" s="405"/>
      <c r="C94" s="405"/>
      <c r="D94" s="405"/>
    </row>
    <row r="95" spans="1:4" ht="43.5" x14ac:dyDescent="0.35">
      <c r="A95" s="131" t="s">
        <v>66</v>
      </c>
      <c r="B95" s="131" t="s">
        <v>67</v>
      </c>
      <c r="C95" s="379" t="s">
        <v>41</v>
      </c>
      <c r="D95" s="392" t="s">
        <v>128</v>
      </c>
    </row>
    <row r="96" spans="1:4" ht="29" x14ac:dyDescent="0.35">
      <c r="A96" s="132" t="s">
        <v>69</v>
      </c>
      <c r="B96" s="131" t="s">
        <v>110</v>
      </c>
      <c r="C96" s="379" t="s">
        <v>41</v>
      </c>
      <c r="D96" s="392" t="s">
        <v>129</v>
      </c>
    </row>
    <row r="97" spans="1:4" x14ac:dyDescent="0.35">
      <c r="A97" s="132" t="s">
        <v>72</v>
      </c>
      <c r="B97" s="131" t="s">
        <v>73</v>
      </c>
      <c r="C97" s="379" t="s">
        <v>112</v>
      </c>
      <c r="D97" s="131" t="s">
        <v>16</v>
      </c>
    </row>
    <row r="98" spans="1:4" ht="29" x14ac:dyDescent="0.35">
      <c r="A98" s="132" t="s">
        <v>76</v>
      </c>
      <c r="B98" s="131" t="s">
        <v>113</v>
      </c>
      <c r="C98" s="379" t="s">
        <v>41</v>
      </c>
      <c r="D98" s="392" t="s">
        <v>130</v>
      </c>
    </row>
    <row r="99" spans="1:4" ht="43.5" x14ac:dyDescent="0.35">
      <c r="A99" s="132" t="s">
        <v>78</v>
      </c>
      <c r="B99" s="131" t="s">
        <v>113</v>
      </c>
      <c r="C99" s="379" t="s">
        <v>41</v>
      </c>
      <c r="D99" s="392" t="s">
        <v>131</v>
      </c>
    </row>
    <row r="100" spans="1:4" x14ac:dyDescent="0.35">
      <c r="A100" s="131" t="s">
        <v>80</v>
      </c>
      <c r="B100" s="131" t="s">
        <v>81</v>
      </c>
      <c r="C100" s="386" t="s">
        <v>82</v>
      </c>
      <c r="D100" s="131" t="s">
        <v>16</v>
      </c>
    </row>
    <row r="101" spans="1:4" x14ac:dyDescent="0.35">
      <c r="A101" s="131" t="s">
        <v>83</v>
      </c>
      <c r="B101" s="131" t="s">
        <v>84</v>
      </c>
      <c r="C101" s="386" t="s">
        <v>85</v>
      </c>
      <c r="D101" s="131" t="s">
        <v>16</v>
      </c>
    </row>
    <row r="102" spans="1:4" ht="87" x14ac:dyDescent="0.35">
      <c r="A102" s="131" t="s">
        <v>115</v>
      </c>
      <c r="B102" s="131" t="s">
        <v>132</v>
      </c>
      <c r="C102" s="384" t="s">
        <v>133</v>
      </c>
      <c r="D102" s="131" t="s">
        <v>16</v>
      </c>
    </row>
    <row r="103" spans="1:4" x14ac:dyDescent="0.35">
      <c r="A103" s="131" t="s">
        <v>89</v>
      </c>
      <c r="B103" s="131" t="s">
        <v>90</v>
      </c>
      <c r="C103" s="398" t="s">
        <v>91</v>
      </c>
      <c r="D103" s="131" t="s">
        <v>16</v>
      </c>
    </row>
    <row r="104" spans="1:4" x14ac:dyDescent="0.35">
      <c r="A104" s="131" t="s">
        <v>92</v>
      </c>
      <c r="B104" s="131" t="s">
        <v>93</v>
      </c>
      <c r="C104" s="398" t="s">
        <v>94</v>
      </c>
      <c r="D104" s="131" t="s">
        <v>16</v>
      </c>
    </row>
    <row r="105" spans="1:4" ht="19.5" x14ac:dyDescent="0.35">
      <c r="A105" s="410" t="s">
        <v>134</v>
      </c>
      <c r="B105" s="410"/>
      <c r="C105" s="410"/>
      <c r="D105" s="410"/>
    </row>
    <row r="106" spans="1:4" x14ac:dyDescent="0.35">
      <c r="A106" s="401" t="s">
        <v>135</v>
      </c>
      <c r="B106" s="401"/>
      <c r="C106" s="401"/>
      <c r="D106" s="401"/>
    </row>
    <row r="107" spans="1:4" ht="29" x14ac:dyDescent="0.35">
      <c r="A107" s="129" t="s">
        <v>72</v>
      </c>
      <c r="B107" s="129" t="s">
        <v>136</v>
      </c>
      <c r="C107" s="385" t="s">
        <v>137</v>
      </c>
      <c r="D107" s="129" t="s">
        <v>16</v>
      </c>
    </row>
    <row r="108" spans="1:4" ht="43.5" x14ac:dyDescent="0.35">
      <c r="A108" s="129" t="s">
        <v>138</v>
      </c>
      <c r="B108" s="129" t="s">
        <v>139</v>
      </c>
      <c r="C108" s="381" t="s">
        <v>140</v>
      </c>
      <c r="D108" s="394" t="s">
        <v>141</v>
      </c>
    </row>
    <row r="109" spans="1:4" ht="43.5" x14ac:dyDescent="0.35">
      <c r="A109" s="129" t="s">
        <v>142</v>
      </c>
      <c r="B109" s="129" t="s">
        <v>143</v>
      </c>
      <c r="C109" s="381" t="s">
        <v>140</v>
      </c>
      <c r="D109" s="394" t="s">
        <v>141</v>
      </c>
    </row>
    <row r="110" spans="1:4" x14ac:dyDescent="0.35">
      <c r="A110" s="129" t="s">
        <v>144</v>
      </c>
      <c r="B110" s="129" t="s">
        <v>90</v>
      </c>
      <c r="C110" s="385" t="s">
        <v>145</v>
      </c>
      <c r="D110" s="396" t="s">
        <v>16</v>
      </c>
    </row>
    <row r="111" spans="1:4" x14ac:dyDescent="0.35">
      <c r="A111" s="129" t="s">
        <v>146</v>
      </c>
      <c r="B111" s="129" t="s">
        <v>93</v>
      </c>
      <c r="C111" s="385" t="s">
        <v>147</v>
      </c>
      <c r="D111" s="396" t="s">
        <v>16</v>
      </c>
    </row>
    <row r="112" spans="1:4" x14ac:dyDescent="0.35">
      <c r="A112" s="405" t="s">
        <v>148</v>
      </c>
      <c r="B112" s="405"/>
      <c r="C112" s="405"/>
      <c r="D112" s="405"/>
    </row>
    <row r="113" spans="1:4" ht="29" x14ac:dyDescent="0.35">
      <c r="A113" s="131" t="s">
        <v>72</v>
      </c>
      <c r="B113" s="131" t="s">
        <v>136</v>
      </c>
      <c r="C113" s="386" t="s">
        <v>137</v>
      </c>
      <c r="D113" s="131" t="s">
        <v>16</v>
      </c>
    </row>
    <row r="114" spans="1:4" ht="43.5" x14ac:dyDescent="0.35">
      <c r="A114" s="131" t="s">
        <v>138</v>
      </c>
      <c r="B114" s="131" t="s">
        <v>149</v>
      </c>
      <c r="C114" s="383" t="s">
        <v>150</v>
      </c>
      <c r="D114" s="395" t="s">
        <v>141</v>
      </c>
    </row>
    <row r="115" spans="1:4" ht="43.5" x14ac:dyDescent="0.35">
      <c r="A115" s="131" t="s">
        <v>142</v>
      </c>
      <c r="B115" s="131" t="s">
        <v>151</v>
      </c>
      <c r="C115" s="383" t="s">
        <v>150</v>
      </c>
      <c r="D115" s="395" t="s">
        <v>141</v>
      </c>
    </row>
    <row r="116" spans="1:4" x14ac:dyDescent="0.35">
      <c r="A116" s="131" t="s">
        <v>144</v>
      </c>
      <c r="B116" s="131" t="s">
        <v>90</v>
      </c>
      <c r="C116" s="386" t="s">
        <v>145</v>
      </c>
      <c r="D116" s="397" t="s">
        <v>16</v>
      </c>
    </row>
    <row r="117" spans="1:4" x14ac:dyDescent="0.35">
      <c r="A117" s="131" t="s">
        <v>146</v>
      </c>
      <c r="B117" s="131" t="s">
        <v>93</v>
      </c>
      <c r="C117" s="386" t="s">
        <v>147</v>
      </c>
      <c r="D117" s="397" t="s">
        <v>16</v>
      </c>
    </row>
    <row r="118" spans="1:4" x14ac:dyDescent="0.35">
      <c r="A118" s="401" t="s">
        <v>152</v>
      </c>
      <c r="B118" s="401"/>
      <c r="C118" s="401"/>
      <c r="D118" s="401"/>
    </row>
    <row r="119" spans="1:4" ht="29" x14ac:dyDescent="0.35">
      <c r="A119" s="129" t="s">
        <v>72</v>
      </c>
      <c r="B119" s="129" t="s">
        <v>136</v>
      </c>
      <c r="C119" s="385" t="s">
        <v>137</v>
      </c>
      <c r="D119" s="129" t="s">
        <v>16</v>
      </c>
    </row>
    <row r="120" spans="1:4" ht="29" x14ac:dyDescent="0.35">
      <c r="A120" s="129" t="s">
        <v>138</v>
      </c>
      <c r="B120" s="129" t="s">
        <v>153</v>
      </c>
      <c r="C120" s="381" t="s">
        <v>154</v>
      </c>
      <c r="D120" s="394" t="s">
        <v>141</v>
      </c>
    </row>
    <row r="121" spans="1:4" ht="29" x14ac:dyDescent="0.35">
      <c r="A121" s="129" t="s">
        <v>142</v>
      </c>
      <c r="B121" s="129" t="s">
        <v>155</v>
      </c>
      <c r="C121" s="381" t="s">
        <v>154</v>
      </c>
      <c r="D121" s="391" t="s">
        <v>141</v>
      </c>
    </row>
    <row r="122" spans="1:4" x14ac:dyDescent="0.35">
      <c r="A122" s="129" t="s">
        <v>144</v>
      </c>
      <c r="B122" s="129" t="s">
        <v>90</v>
      </c>
      <c r="C122" s="385" t="s">
        <v>145</v>
      </c>
      <c r="D122" s="396" t="s">
        <v>16</v>
      </c>
    </row>
    <row r="123" spans="1:4" x14ac:dyDescent="0.35">
      <c r="A123" s="129" t="s">
        <v>146</v>
      </c>
      <c r="B123" s="129" t="s">
        <v>93</v>
      </c>
      <c r="C123" s="385" t="s">
        <v>147</v>
      </c>
      <c r="D123" s="396" t="s">
        <v>16</v>
      </c>
    </row>
    <row r="124" spans="1:4" x14ac:dyDescent="0.35">
      <c r="A124" s="401" t="s">
        <v>156</v>
      </c>
      <c r="B124" s="401"/>
      <c r="C124" s="401"/>
      <c r="D124" s="401"/>
    </row>
    <row r="125" spans="1:4" ht="29" x14ac:dyDescent="0.35">
      <c r="A125" s="129" t="s">
        <v>146</v>
      </c>
      <c r="B125" s="129" t="s">
        <v>157</v>
      </c>
      <c r="C125" s="381" t="s">
        <v>158</v>
      </c>
      <c r="D125" s="396" t="s">
        <v>16</v>
      </c>
    </row>
    <row r="126" spans="1:4" ht="29" x14ac:dyDescent="0.35">
      <c r="A126" s="129" t="s">
        <v>144</v>
      </c>
      <c r="B126" s="129" t="s">
        <v>157</v>
      </c>
      <c r="C126" s="381" t="s">
        <v>159</v>
      </c>
      <c r="D126" s="396" t="s">
        <v>16</v>
      </c>
    </row>
    <row r="127" spans="1:4" x14ac:dyDescent="0.35">
      <c r="A127" s="408" t="s">
        <v>160</v>
      </c>
      <c r="B127" s="408"/>
      <c r="C127" s="408"/>
      <c r="D127" s="408"/>
    </row>
    <row r="128" spans="1:4" ht="29" x14ac:dyDescent="0.35">
      <c r="A128" s="131" t="s">
        <v>72</v>
      </c>
      <c r="B128" s="131" t="s">
        <v>136</v>
      </c>
      <c r="C128" s="386" t="s">
        <v>137</v>
      </c>
      <c r="D128" s="131" t="s">
        <v>16</v>
      </c>
    </row>
    <row r="129" spans="1:4" ht="29" x14ac:dyDescent="0.35">
      <c r="A129" s="348" t="s">
        <v>138</v>
      </c>
      <c r="B129" s="348" t="s">
        <v>161</v>
      </c>
      <c r="C129" s="386" t="s">
        <v>162</v>
      </c>
      <c r="D129" s="395" t="s">
        <v>141</v>
      </c>
    </row>
    <row r="130" spans="1:4" ht="29" x14ac:dyDescent="0.35">
      <c r="A130" s="348" t="s">
        <v>142</v>
      </c>
      <c r="B130" s="348" t="s">
        <v>163</v>
      </c>
      <c r="C130" s="386" t="s">
        <v>162</v>
      </c>
      <c r="D130" s="392" t="s">
        <v>141</v>
      </c>
    </row>
    <row r="131" spans="1:4" x14ac:dyDescent="0.35">
      <c r="A131" s="131" t="s">
        <v>144</v>
      </c>
      <c r="B131" s="131" t="s">
        <v>90</v>
      </c>
      <c r="C131" s="386" t="s">
        <v>145</v>
      </c>
      <c r="D131" s="397" t="s">
        <v>16</v>
      </c>
    </row>
    <row r="132" spans="1:4" x14ac:dyDescent="0.35">
      <c r="A132" s="131" t="s">
        <v>146</v>
      </c>
      <c r="B132" s="131" t="s">
        <v>93</v>
      </c>
      <c r="C132" s="386" t="s">
        <v>147</v>
      </c>
      <c r="D132" s="397" t="s">
        <v>16</v>
      </c>
    </row>
    <row r="133" spans="1:4" ht="19.5" x14ac:dyDescent="0.35">
      <c r="A133" s="409" t="s">
        <v>164</v>
      </c>
      <c r="B133" s="409"/>
      <c r="C133" s="409"/>
      <c r="D133" s="409"/>
    </row>
    <row r="134" spans="1:4" x14ac:dyDescent="0.35">
      <c r="A134" s="401" t="s">
        <v>165</v>
      </c>
      <c r="B134" s="401"/>
      <c r="C134" s="401"/>
      <c r="D134" s="401"/>
    </row>
    <row r="135" spans="1:4" ht="29" x14ac:dyDescent="0.35">
      <c r="A135" s="134" t="s">
        <v>166</v>
      </c>
      <c r="B135" s="133" t="s">
        <v>167</v>
      </c>
      <c r="C135" s="387" t="s">
        <v>168</v>
      </c>
      <c r="D135" s="394" t="s">
        <v>169</v>
      </c>
    </row>
    <row r="136" spans="1:4" x14ac:dyDescent="0.35">
      <c r="A136" s="134" t="s">
        <v>170</v>
      </c>
      <c r="B136" s="133" t="s">
        <v>171</v>
      </c>
      <c r="C136" s="385" t="s">
        <v>172</v>
      </c>
      <c r="D136" s="129" t="s">
        <v>16</v>
      </c>
    </row>
    <row r="137" spans="1:4" ht="29" x14ac:dyDescent="0.35">
      <c r="A137" s="134" t="s">
        <v>173</v>
      </c>
      <c r="B137" s="133" t="s">
        <v>174</v>
      </c>
      <c r="C137" s="387" t="s">
        <v>168</v>
      </c>
      <c r="D137" s="394" t="s">
        <v>169</v>
      </c>
    </row>
    <row r="138" spans="1:4" x14ac:dyDescent="0.35">
      <c r="A138" s="134" t="s">
        <v>175</v>
      </c>
      <c r="B138" s="133" t="s">
        <v>171</v>
      </c>
      <c r="C138" s="385" t="s">
        <v>176</v>
      </c>
      <c r="D138" s="129" t="s">
        <v>16</v>
      </c>
    </row>
    <row r="139" spans="1:4" x14ac:dyDescent="0.35">
      <c r="A139" s="134" t="s">
        <v>177</v>
      </c>
      <c r="B139" s="133" t="s">
        <v>178</v>
      </c>
      <c r="C139" s="385" t="s">
        <v>179</v>
      </c>
      <c r="D139" s="129" t="s">
        <v>16</v>
      </c>
    </row>
    <row r="140" spans="1:4" ht="29" x14ac:dyDescent="0.35">
      <c r="A140" s="134" t="s">
        <v>72</v>
      </c>
      <c r="B140" s="129" t="s">
        <v>136</v>
      </c>
      <c r="C140" s="385" t="s">
        <v>137</v>
      </c>
      <c r="D140" s="129" t="s">
        <v>16</v>
      </c>
    </row>
    <row r="141" spans="1:4" ht="29" x14ac:dyDescent="0.35">
      <c r="A141" s="135" t="s">
        <v>180</v>
      </c>
      <c r="B141" s="133" t="s">
        <v>181</v>
      </c>
      <c r="C141" s="387" t="s">
        <v>41</v>
      </c>
      <c r="D141" s="394" t="s">
        <v>182</v>
      </c>
    </row>
    <row r="142" spans="1:4" x14ac:dyDescent="0.35">
      <c r="A142" s="129" t="s">
        <v>144</v>
      </c>
      <c r="B142" s="129" t="s">
        <v>90</v>
      </c>
      <c r="C142" s="385" t="s">
        <v>145</v>
      </c>
      <c r="D142" s="396" t="s">
        <v>16</v>
      </c>
    </row>
    <row r="143" spans="1:4" x14ac:dyDescent="0.35">
      <c r="A143" s="129" t="s">
        <v>146</v>
      </c>
      <c r="B143" s="129" t="s">
        <v>93</v>
      </c>
      <c r="C143" s="385" t="s">
        <v>147</v>
      </c>
      <c r="D143" s="396" t="s">
        <v>16</v>
      </c>
    </row>
    <row r="144" spans="1:4" x14ac:dyDescent="0.35">
      <c r="A144" s="405" t="s">
        <v>183</v>
      </c>
      <c r="B144" s="405"/>
      <c r="C144" s="405"/>
      <c r="D144" s="405"/>
    </row>
    <row r="145" spans="1:4" ht="29" x14ac:dyDescent="0.35">
      <c r="A145" s="136" t="s">
        <v>184</v>
      </c>
      <c r="B145" s="131" t="s">
        <v>185</v>
      </c>
      <c r="C145" s="386" t="s">
        <v>186</v>
      </c>
      <c r="D145" s="131" t="s">
        <v>16</v>
      </c>
    </row>
    <row r="146" spans="1:4" ht="29" x14ac:dyDescent="0.35">
      <c r="A146" s="136" t="s">
        <v>187</v>
      </c>
      <c r="B146" s="131" t="s">
        <v>188</v>
      </c>
      <c r="C146" s="386" t="s">
        <v>186</v>
      </c>
      <c r="D146" s="131" t="s">
        <v>16</v>
      </c>
    </row>
    <row r="147" spans="1:4" x14ac:dyDescent="0.35">
      <c r="A147" s="131" t="s">
        <v>144</v>
      </c>
      <c r="B147" s="131" t="s">
        <v>90</v>
      </c>
      <c r="C147" s="386" t="s">
        <v>145</v>
      </c>
      <c r="D147" s="397" t="s">
        <v>16</v>
      </c>
    </row>
    <row r="148" spans="1:4" x14ac:dyDescent="0.35">
      <c r="A148" s="131" t="s">
        <v>146</v>
      </c>
      <c r="B148" s="131" t="s">
        <v>93</v>
      </c>
      <c r="C148" s="386" t="s">
        <v>147</v>
      </c>
      <c r="D148" s="397" t="s">
        <v>16</v>
      </c>
    </row>
    <row r="149" spans="1:4" x14ac:dyDescent="0.35">
      <c r="A149" s="401" t="s">
        <v>189</v>
      </c>
      <c r="B149" s="401"/>
      <c r="C149" s="401"/>
      <c r="D149" s="401"/>
    </row>
    <row r="150" spans="1:4" ht="29" x14ac:dyDescent="0.35">
      <c r="A150" s="134" t="s">
        <v>184</v>
      </c>
      <c r="B150" s="129" t="s">
        <v>188</v>
      </c>
      <c r="C150" s="385" t="s">
        <v>190</v>
      </c>
      <c r="D150" s="129" t="s">
        <v>16</v>
      </c>
    </row>
    <row r="151" spans="1:4" ht="29" x14ac:dyDescent="0.35">
      <c r="A151" s="134" t="s">
        <v>187</v>
      </c>
      <c r="B151" s="129" t="s">
        <v>188</v>
      </c>
      <c r="C151" s="385" t="s">
        <v>190</v>
      </c>
      <c r="D151" s="129" t="s">
        <v>16</v>
      </c>
    </row>
    <row r="152" spans="1:4" x14ac:dyDescent="0.35">
      <c r="A152" s="129" t="s">
        <v>144</v>
      </c>
      <c r="B152" s="129" t="s">
        <v>90</v>
      </c>
      <c r="C152" s="385" t="s">
        <v>145</v>
      </c>
      <c r="D152" s="396" t="s">
        <v>16</v>
      </c>
    </row>
    <row r="153" spans="1:4" x14ac:dyDescent="0.35">
      <c r="A153" s="129" t="s">
        <v>146</v>
      </c>
      <c r="B153" s="129" t="s">
        <v>93</v>
      </c>
      <c r="C153" s="385" t="s">
        <v>147</v>
      </c>
      <c r="D153" s="396" t="s">
        <v>16</v>
      </c>
    </row>
    <row r="154" spans="1:4" x14ac:dyDescent="0.35">
      <c r="A154" s="405" t="s">
        <v>191</v>
      </c>
      <c r="B154" s="405"/>
      <c r="C154" s="405"/>
      <c r="D154" s="405"/>
    </row>
    <row r="155" spans="1:4" ht="29" x14ac:dyDescent="0.35">
      <c r="A155" s="136" t="s">
        <v>184</v>
      </c>
      <c r="B155" s="131" t="s">
        <v>188</v>
      </c>
      <c r="C155" s="386" t="s">
        <v>192</v>
      </c>
      <c r="D155" s="131" t="s">
        <v>16</v>
      </c>
    </row>
    <row r="156" spans="1:4" ht="29" x14ac:dyDescent="0.35">
      <c r="A156" s="136" t="s">
        <v>187</v>
      </c>
      <c r="B156" s="131" t="s">
        <v>188</v>
      </c>
      <c r="C156" s="386" t="s">
        <v>192</v>
      </c>
      <c r="D156" s="131" t="s">
        <v>16</v>
      </c>
    </row>
    <row r="157" spans="1:4" x14ac:dyDescent="0.35">
      <c r="A157" s="131" t="s">
        <v>144</v>
      </c>
      <c r="B157" s="131" t="s">
        <v>90</v>
      </c>
      <c r="C157" s="386" t="s">
        <v>145</v>
      </c>
      <c r="D157" s="397" t="s">
        <v>16</v>
      </c>
    </row>
    <row r="158" spans="1:4" x14ac:dyDescent="0.35">
      <c r="A158" s="131" t="s">
        <v>146</v>
      </c>
      <c r="B158" s="131" t="s">
        <v>93</v>
      </c>
      <c r="C158" s="386" t="s">
        <v>147</v>
      </c>
      <c r="D158" s="397" t="s">
        <v>16</v>
      </c>
    </row>
    <row r="159" spans="1:4" x14ac:dyDescent="0.35">
      <c r="A159" s="401" t="s">
        <v>193</v>
      </c>
      <c r="B159" s="401"/>
      <c r="C159" s="401"/>
      <c r="D159" s="401"/>
    </row>
    <row r="160" spans="1:4" ht="29" x14ac:dyDescent="0.35">
      <c r="A160" s="134" t="s">
        <v>184</v>
      </c>
      <c r="B160" s="129" t="s">
        <v>188</v>
      </c>
      <c r="C160" s="385" t="s">
        <v>194</v>
      </c>
      <c r="D160" s="129" t="s">
        <v>16</v>
      </c>
    </row>
    <row r="161" spans="1:4" ht="29" x14ac:dyDescent="0.35">
      <c r="A161" s="134" t="s">
        <v>187</v>
      </c>
      <c r="B161" s="129" t="s">
        <v>188</v>
      </c>
      <c r="C161" s="385" t="s">
        <v>194</v>
      </c>
      <c r="D161" s="129" t="s">
        <v>16</v>
      </c>
    </row>
    <row r="162" spans="1:4" x14ac:dyDescent="0.35">
      <c r="A162" s="129" t="s">
        <v>144</v>
      </c>
      <c r="B162" s="129" t="s">
        <v>90</v>
      </c>
      <c r="C162" s="385" t="s">
        <v>145</v>
      </c>
      <c r="D162" s="396" t="s">
        <v>16</v>
      </c>
    </row>
    <row r="163" spans="1:4" x14ac:dyDescent="0.35">
      <c r="A163" s="129" t="s">
        <v>146</v>
      </c>
      <c r="B163" s="129" t="s">
        <v>93</v>
      </c>
      <c r="C163" s="385" t="s">
        <v>147</v>
      </c>
      <c r="D163" s="396" t="s">
        <v>16</v>
      </c>
    </row>
    <row r="164" spans="1:4" ht="19.5" x14ac:dyDescent="0.35">
      <c r="A164" s="407" t="s">
        <v>195</v>
      </c>
      <c r="B164" s="407"/>
      <c r="C164" s="407"/>
      <c r="D164" s="407"/>
    </row>
    <row r="165" spans="1:4" x14ac:dyDescent="0.35">
      <c r="A165" s="401" t="s">
        <v>196</v>
      </c>
      <c r="B165" s="401"/>
      <c r="C165" s="401"/>
      <c r="D165" s="401"/>
    </row>
    <row r="166" spans="1:4" ht="29" x14ac:dyDescent="0.35">
      <c r="A166" s="133" t="s">
        <v>72</v>
      </c>
      <c r="B166" s="129" t="s">
        <v>136</v>
      </c>
      <c r="C166" s="385" t="s">
        <v>137</v>
      </c>
      <c r="D166" s="129" t="s">
        <v>16</v>
      </c>
    </row>
    <row r="167" spans="1:4" x14ac:dyDescent="0.35">
      <c r="A167" s="402" t="s">
        <v>197</v>
      </c>
      <c r="B167" s="402"/>
      <c r="C167" s="402"/>
      <c r="D167" s="402"/>
    </row>
    <row r="168" spans="1:4" x14ac:dyDescent="0.35">
      <c r="A168" s="131" t="s">
        <v>138</v>
      </c>
      <c r="B168" s="131" t="s">
        <v>198</v>
      </c>
      <c r="C168" s="386" t="s">
        <v>199</v>
      </c>
      <c r="D168" s="395" t="s">
        <v>200</v>
      </c>
    </row>
    <row r="169" spans="1:4" x14ac:dyDescent="0.35">
      <c r="A169" s="131" t="s">
        <v>142</v>
      </c>
      <c r="B169" s="131" t="s">
        <v>201</v>
      </c>
      <c r="C169" s="386" t="s">
        <v>199</v>
      </c>
      <c r="D169" s="395" t="s">
        <v>200</v>
      </c>
    </row>
    <row r="170" spans="1:4" x14ac:dyDescent="0.35">
      <c r="A170" s="131" t="s">
        <v>144</v>
      </c>
      <c r="B170" s="131" t="s">
        <v>90</v>
      </c>
      <c r="C170" s="386" t="s">
        <v>145</v>
      </c>
      <c r="D170" s="397" t="s">
        <v>16</v>
      </c>
    </row>
    <row r="171" spans="1:4" x14ac:dyDescent="0.35">
      <c r="A171" s="131" t="s">
        <v>146</v>
      </c>
      <c r="B171" s="131" t="s">
        <v>93</v>
      </c>
      <c r="C171" s="386" t="s">
        <v>147</v>
      </c>
      <c r="D171" s="397" t="s">
        <v>16</v>
      </c>
    </row>
    <row r="172" spans="1:4" x14ac:dyDescent="0.35">
      <c r="A172" s="403" t="s">
        <v>202</v>
      </c>
      <c r="B172" s="403"/>
      <c r="C172" s="403"/>
      <c r="D172" s="403"/>
    </row>
    <row r="173" spans="1:4" x14ac:dyDescent="0.35">
      <c r="A173" s="129" t="s">
        <v>138</v>
      </c>
      <c r="B173" s="129" t="s">
        <v>203</v>
      </c>
      <c r="C173" s="385" t="s">
        <v>204</v>
      </c>
      <c r="D173" s="394" t="s">
        <v>200</v>
      </c>
    </row>
    <row r="174" spans="1:4" x14ac:dyDescent="0.35">
      <c r="A174" s="129" t="s">
        <v>142</v>
      </c>
      <c r="B174" s="129" t="s">
        <v>205</v>
      </c>
      <c r="C174" s="385" t="s">
        <v>204</v>
      </c>
      <c r="D174" s="394" t="s">
        <v>200</v>
      </c>
    </row>
    <row r="175" spans="1:4" x14ac:dyDescent="0.35">
      <c r="A175" s="129" t="s">
        <v>144</v>
      </c>
      <c r="B175" s="129" t="s">
        <v>90</v>
      </c>
      <c r="C175" s="385" t="s">
        <v>145</v>
      </c>
      <c r="D175" s="396" t="s">
        <v>16</v>
      </c>
    </row>
    <row r="176" spans="1:4" x14ac:dyDescent="0.35">
      <c r="A176" s="129" t="s">
        <v>146</v>
      </c>
      <c r="B176" s="129" t="s">
        <v>93</v>
      </c>
      <c r="C176" s="385" t="s">
        <v>147</v>
      </c>
      <c r="D176" s="396" t="s">
        <v>16</v>
      </c>
    </row>
    <row r="177" spans="1:4" x14ac:dyDescent="0.35">
      <c r="A177" s="402" t="s">
        <v>206</v>
      </c>
      <c r="B177" s="402"/>
      <c r="C177" s="402"/>
      <c r="D177" s="402"/>
    </row>
    <row r="178" spans="1:4" x14ac:dyDescent="0.35">
      <c r="A178" s="131" t="s">
        <v>138</v>
      </c>
      <c r="B178" s="131" t="s">
        <v>207</v>
      </c>
      <c r="C178" s="386" t="s">
        <v>208</v>
      </c>
      <c r="D178" s="395" t="s">
        <v>200</v>
      </c>
    </row>
    <row r="179" spans="1:4" x14ac:dyDescent="0.35">
      <c r="A179" s="131" t="s">
        <v>142</v>
      </c>
      <c r="B179" s="131" t="s">
        <v>209</v>
      </c>
      <c r="C179" s="386" t="s">
        <v>208</v>
      </c>
      <c r="D179" s="395" t="s">
        <v>200</v>
      </c>
    </row>
    <row r="180" spans="1:4" x14ac:dyDescent="0.35">
      <c r="A180" s="131" t="s">
        <v>144</v>
      </c>
      <c r="B180" s="131" t="s">
        <v>90</v>
      </c>
      <c r="C180" s="386" t="s">
        <v>145</v>
      </c>
      <c r="D180" s="397" t="s">
        <v>16</v>
      </c>
    </row>
    <row r="181" spans="1:4" x14ac:dyDescent="0.35">
      <c r="A181" s="131" t="s">
        <v>146</v>
      </c>
      <c r="B181" s="131" t="s">
        <v>93</v>
      </c>
      <c r="C181" s="386" t="s">
        <v>147</v>
      </c>
      <c r="D181" s="397" t="s">
        <v>16</v>
      </c>
    </row>
    <row r="182" spans="1:4" x14ac:dyDescent="0.35">
      <c r="A182" s="403" t="s">
        <v>210</v>
      </c>
      <c r="B182" s="403"/>
      <c r="C182" s="403"/>
      <c r="D182" s="403"/>
    </row>
    <row r="183" spans="1:4" x14ac:dyDescent="0.35">
      <c r="A183" s="129" t="s">
        <v>138</v>
      </c>
      <c r="B183" s="129" t="s">
        <v>211</v>
      </c>
      <c r="C183" s="385" t="s">
        <v>212</v>
      </c>
      <c r="D183" s="394" t="s">
        <v>200</v>
      </c>
    </row>
    <row r="184" spans="1:4" x14ac:dyDescent="0.35">
      <c r="A184" s="129" t="s">
        <v>142</v>
      </c>
      <c r="B184" s="129" t="s">
        <v>213</v>
      </c>
      <c r="C184" s="385" t="s">
        <v>212</v>
      </c>
      <c r="D184" s="394" t="s">
        <v>200</v>
      </c>
    </row>
    <row r="185" spans="1:4" x14ac:dyDescent="0.35">
      <c r="A185" s="129" t="s">
        <v>144</v>
      </c>
      <c r="B185" s="129" t="s">
        <v>90</v>
      </c>
      <c r="C185" s="385" t="s">
        <v>145</v>
      </c>
      <c r="D185" s="396" t="s">
        <v>16</v>
      </c>
    </row>
    <row r="186" spans="1:4" x14ac:dyDescent="0.35">
      <c r="A186" s="129" t="s">
        <v>146</v>
      </c>
      <c r="B186" s="129" t="s">
        <v>93</v>
      </c>
      <c r="C186" s="385" t="s">
        <v>147</v>
      </c>
      <c r="D186" s="396" t="s">
        <v>16</v>
      </c>
    </row>
    <row r="187" spans="1:4" x14ac:dyDescent="0.35">
      <c r="A187" s="402" t="s">
        <v>214</v>
      </c>
      <c r="B187" s="402"/>
      <c r="C187" s="402"/>
      <c r="D187" s="402"/>
    </row>
    <row r="188" spans="1:4" ht="29" x14ac:dyDescent="0.35">
      <c r="A188" s="125" t="s">
        <v>215</v>
      </c>
      <c r="B188" s="125" t="s">
        <v>216</v>
      </c>
      <c r="C188" s="400" t="s">
        <v>41</v>
      </c>
      <c r="D188" s="395" t="s">
        <v>217</v>
      </c>
    </row>
    <row r="189" spans="1:4" ht="29" x14ac:dyDescent="0.35">
      <c r="A189" s="131" t="s">
        <v>138</v>
      </c>
      <c r="B189" s="131" t="s">
        <v>218</v>
      </c>
      <c r="C189" s="386" t="s">
        <v>219</v>
      </c>
      <c r="D189" s="395" t="s">
        <v>217</v>
      </c>
    </row>
    <row r="190" spans="1:4" ht="29" x14ac:dyDescent="0.35">
      <c r="A190" s="131" t="s">
        <v>142</v>
      </c>
      <c r="B190" s="131" t="s">
        <v>220</v>
      </c>
      <c r="C190" s="386" t="s">
        <v>221</v>
      </c>
      <c r="D190" s="395" t="s">
        <v>217</v>
      </c>
    </row>
    <row r="191" spans="1:4" x14ac:dyDescent="0.35">
      <c r="A191" s="131" t="s">
        <v>144</v>
      </c>
      <c r="B191" s="131" t="s">
        <v>90</v>
      </c>
      <c r="C191" s="386" t="s">
        <v>145</v>
      </c>
      <c r="D191" s="397" t="s">
        <v>16</v>
      </c>
    </row>
    <row r="192" spans="1:4" x14ac:dyDescent="0.35">
      <c r="A192" s="131" t="s">
        <v>146</v>
      </c>
      <c r="B192" s="131" t="s">
        <v>93</v>
      </c>
      <c r="C192" s="386" t="s">
        <v>147</v>
      </c>
      <c r="D192" s="397" t="s">
        <v>16</v>
      </c>
    </row>
    <row r="193" spans="1:4" ht="19.5" x14ac:dyDescent="0.35">
      <c r="A193" s="406" t="s">
        <v>222</v>
      </c>
      <c r="B193" s="406"/>
      <c r="C193" s="406"/>
      <c r="D193" s="406"/>
    </row>
    <row r="194" spans="1:4" x14ac:dyDescent="0.35">
      <c r="A194" s="401" t="s">
        <v>223</v>
      </c>
      <c r="B194" s="401"/>
      <c r="C194" s="401"/>
      <c r="D194" s="401"/>
    </row>
    <row r="195" spans="1:4" x14ac:dyDescent="0.35">
      <c r="A195" s="134" t="s">
        <v>224</v>
      </c>
      <c r="B195" s="133" t="s">
        <v>225</v>
      </c>
      <c r="C195" s="387" t="s">
        <v>41</v>
      </c>
      <c r="D195" s="394" t="s">
        <v>226</v>
      </c>
    </row>
    <row r="196" spans="1:4" x14ac:dyDescent="0.35">
      <c r="A196" s="134" t="s">
        <v>227</v>
      </c>
      <c r="B196" s="133" t="s">
        <v>228</v>
      </c>
      <c r="C196" s="387" t="s">
        <v>41</v>
      </c>
      <c r="D196" s="394" t="s">
        <v>226</v>
      </c>
    </row>
    <row r="197" spans="1:4" x14ac:dyDescent="0.35">
      <c r="A197" s="134" t="s">
        <v>229</v>
      </c>
      <c r="B197" s="133" t="s">
        <v>230</v>
      </c>
      <c r="C197" s="385" t="s">
        <v>231</v>
      </c>
      <c r="D197" s="129" t="s">
        <v>16</v>
      </c>
    </row>
    <row r="198" spans="1:4" x14ac:dyDescent="0.35">
      <c r="A198" s="134" t="s">
        <v>232</v>
      </c>
      <c r="B198" s="133" t="s">
        <v>233</v>
      </c>
      <c r="C198" s="387" t="s">
        <v>41</v>
      </c>
      <c r="D198" s="394" t="s">
        <v>226</v>
      </c>
    </row>
    <row r="199" spans="1:4" ht="29" x14ac:dyDescent="0.35">
      <c r="A199" s="137" t="s">
        <v>234</v>
      </c>
      <c r="B199" s="133" t="s">
        <v>235</v>
      </c>
      <c r="C199" s="387" t="s">
        <v>41</v>
      </c>
      <c r="D199" s="394" t="s">
        <v>226</v>
      </c>
    </row>
    <row r="200" spans="1:4" ht="32.5" customHeight="1" x14ac:dyDescent="0.35">
      <c r="A200" s="134" t="s">
        <v>236</v>
      </c>
      <c r="B200" s="129" t="s">
        <v>237</v>
      </c>
      <c r="C200" s="381" t="s">
        <v>238</v>
      </c>
      <c r="D200" s="129" t="s">
        <v>16</v>
      </c>
    </row>
    <row r="201" spans="1:4" ht="32.5" customHeight="1" x14ac:dyDescent="0.35">
      <c r="A201" s="134" t="s">
        <v>239</v>
      </c>
      <c r="B201" s="129" t="s">
        <v>240</v>
      </c>
      <c r="C201" s="385" t="s">
        <v>241</v>
      </c>
      <c r="D201" s="129" t="s">
        <v>16</v>
      </c>
    </row>
    <row r="202" spans="1:4" x14ac:dyDescent="0.35">
      <c r="A202" s="129" t="s">
        <v>144</v>
      </c>
      <c r="B202" s="129" t="s">
        <v>90</v>
      </c>
      <c r="C202" s="385" t="s">
        <v>145</v>
      </c>
      <c r="D202" s="396" t="s">
        <v>16</v>
      </c>
    </row>
    <row r="203" spans="1:4" x14ac:dyDescent="0.35">
      <c r="A203" s="129" t="s">
        <v>146</v>
      </c>
      <c r="B203" s="129" t="s">
        <v>93</v>
      </c>
      <c r="C203" s="385" t="s">
        <v>147</v>
      </c>
      <c r="D203" s="396" t="s">
        <v>16</v>
      </c>
    </row>
    <row r="204" spans="1:4" x14ac:dyDescent="0.35">
      <c r="A204" s="405" t="s">
        <v>242</v>
      </c>
      <c r="B204" s="405"/>
      <c r="C204" s="405"/>
      <c r="D204" s="405"/>
    </row>
    <row r="205" spans="1:4" ht="43.5" x14ac:dyDescent="0.35">
      <c r="A205" s="136" t="s">
        <v>243</v>
      </c>
      <c r="B205" s="125" t="s">
        <v>244</v>
      </c>
      <c r="C205" s="379" t="s">
        <v>41</v>
      </c>
      <c r="D205" s="395" t="s">
        <v>245</v>
      </c>
    </row>
    <row r="206" spans="1:4" ht="29" x14ac:dyDescent="0.35">
      <c r="A206" s="136" t="s">
        <v>246</v>
      </c>
      <c r="B206" s="125" t="s">
        <v>247</v>
      </c>
      <c r="C206" s="379" t="s">
        <v>41</v>
      </c>
      <c r="D206" s="395" t="s">
        <v>248</v>
      </c>
    </row>
    <row r="207" spans="1:4" ht="29" x14ac:dyDescent="0.35">
      <c r="A207" s="136" t="s">
        <v>249</v>
      </c>
      <c r="B207" s="125" t="s">
        <v>250</v>
      </c>
      <c r="C207" s="379" t="s">
        <v>41</v>
      </c>
      <c r="D207" s="395" t="s">
        <v>248</v>
      </c>
    </row>
    <row r="208" spans="1:4" ht="29" x14ac:dyDescent="0.35">
      <c r="A208" s="136" t="s">
        <v>251</v>
      </c>
      <c r="B208" s="125" t="s">
        <v>252</v>
      </c>
      <c r="C208" s="379" t="s">
        <v>41</v>
      </c>
      <c r="D208" s="395" t="s">
        <v>248</v>
      </c>
    </row>
    <row r="209" spans="1:4" ht="29" x14ac:dyDescent="0.35">
      <c r="A209" s="136" t="s">
        <v>253</v>
      </c>
      <c r="B209" s="125" t="s">
        <v>254</v>
      </c>
      <c r="C209" s="379" t="s">
        <v>41</v>
      </c>
      <c r="D209" s="395" t="s">
        <v>248</v>
      </c>
    </row>
    <row r="210" spans="1:4" ht="29" x14ac:dyDescent="0.35">
      <c r="A210" s="136" t="s">
        <v>255</v>
      </c>
      <c r="B210" s="131" t="s">
        <v>256</v>
      </c>
      <c r="C210" s="386" t="s">
        <v>257</v>
      </c>
      <c r="D210" s="131" t="s">
        <v>16</v>
      </c>
    </row>
    <row r="211" spans="1:4" ht="29" x14ac:dyDescent="0.35">
      <c r="A211" s="136" t="s">
        <v>255</v>
      </c>
      <c r="B211" s="131" t="s">
        <v>258</v>
      </c>
      <c r="C211" s="386" t="s">
        <v>259</v>
      </c>
      <c r="D211" s="131" t="s">
        <v>16</v>
      </c>
    </row>
    <row r="212" spans="1:4" ht="29" x14ac:dyDescent="0.35">
      <c r="A212" s="136" t="s">
        <v>239</v>
      </c>
      <c r="B212" s="131" t="s">
        <v>260</v>
      </c>
      <c r="C212" s="386" t="s">
        <v>261</v>
      </c>
      <c r="D212" s="131" t="s">
        <v>16</v>
      </c>
    </row>
    <row r="213" spans="1:4" x14ac:dyDescent="0.35">
      <c r="A213" s="131" t="s">
        <v>144</v>
      </c>
      <c r="B213" s="131" t="s">
        <v>90</v>
      </c>
      <c r="C213" s="386" t="s">
        <v>145</v>
      </c>
      <c r="D213" s="397" t="s">
        <v>16</v>
      </c>
    </row>
    <row r="214" spans="1:4" x14ac:dyDescent="0.35">
      <c r="A214" s="131" t="s">
        <v>146</v>
      </c>
      <c r="B214" s="131" t="s">
        <v>93</v>
      </c>
      <c r="C214" s="386" t="s">
        <v>147</v>
      </c>
      <c r="D214" s="397" t="s">
        <v>16</v>
      </c>
    </row>
    <row r="215" spans="1:4" x14ac:dyDescent="0.35">
      <c r="A215" s="401" t="s">
        <v>262</v>
      </c>
      <c r="B215" s="401"/>
      <c r="C215" s="401"/>
      <c r="D215" s="401"/>
    </row>
    <row r="216" spans="1:4" ht="29" x14ac:dyDescent="0.35">
      <c r="A216" s="129" t="s">
        <v>263</v>
      </c>
      <c r="B216" s="129" t="s">
        <v>264</v>
      </c>
      <c r="C216" s="385" t="s">
        <v>41</v>
      </c>
      <c r="D216" s="394" t="s">
        <v>265</v>
      </c>
    </row>
    <row r="217" spans="1:4" ht="29" x14ac:dyDescent="0.35">
      <c r="A217" s="133" t="s">
        <v>266</v>
      </c>
      <c r="B217" s="129" t="s">
        <v>267</v>
      </c>
      <c r="C217" s="385" t="s">
        <v>41</v>
      </c>
      <c r="D217" s="394" t="s">
        <v>265</v>
      </c>
    </row>
    <row r="218" spans="1:4" ht="29" x14ac:dyDescent="0.35">
      <c r="A218" s="133" t="s">
        <v>268</v>
      </c>
      <c r="B218" s="129" t="s">
        <v>269</v>
      </c>
      <c r="C218" s="381" t="s">
        <v>15</v>
      </c>
      <c r="D218" s="129" t="s">
        <v>16</v>
      </c>
    </row>
    <row r="219" spans="1:4" ht="29" x14ac:dyDescent="0.35">
      <c r="A219" s="133" t="s">
        <v>270</v>
      </c>
      <c r="B219" s="129" t="s">
        <v>271</v>
      </c>
      <c r="C219" s="385" t="s">
        <v>272</v>
      </c>
      <c r="D219" s="129" t="s">
        <v>16</v>
      </c>
    </row>
    <row r="220" spans="1:4" ht="43.5" x14ac:dyDescent="0.35">
      <c r="A220" s="129" t="s">
        <v>239</v>
      </c>
      <c r="B220" s="129" t="s">
        <v>273</v>
      </c>
      <c r="C220" s="385" t="s">
        <v>274</v>
      </c>
      <c r="D220" s="394" t="s">
        <v>275</v>
      </c>
    </row>
    <row r="221" spans="1:4" x14ac:dyDescent="0.35">
      <c r="A221" s="129" t="s">
        <v>144</v>
      </c>
      <c r="B221" s="129" t="s">
        <v>90</v>
      </c>
      <c r="C221" s="385" t="s">
        <v>145</v>
      </c>
      <c r="D221" s="396" t="s">
        <v>16</v>
      </c>
    </row>
    <row r="222" spans="1:4" x14ac:dyDescent="0.35">
      <c r="A222" s="129" t="s">
        <v>146</v>
      </c>
      <c r="B222" s="129" t="s">
        <v>93</v>
      </c>
      <c r="C222" s="385" t="s">
        <v>147</v>
      </c>
      <c r="D222" s="396" t="s">
        <v>16</v>
      </c>
    </row>
    <row r="223" spans="1:4" ht="19.5" x14ac:dyDescent="0.35">
      <c r="A223" s="404" t="s">
        <v>276</v>
      </c>
      <c r="B223" s="404"/>
      <c r="C223" s="404"/>
      <c r="D223" s="404"/>
    </row>
    <row r="224" spans="1:4" x14ac:dyDescent="0.35">
      <c r="A224" s="405" t="s">
        <v>277</v>
      </c>
      <c r="B224" s="405"/>
      <c r="C224" s="405"/>
      <c r="D224" s="405"/>
    </row>
    <row r="225" spans="1:4" ht="29" x14ac:dyDescent="0.35">
      <c r="A225" s="136" t="s">
        <v>278</v>
      </c>
      <c r="B225" s="125" t="s">
        <v>279</v>
      </c>
      <c r="C225" s="386" t="s">
        <v>41</v>
      </c>
      <c r="D225" s="395" t="s">
        <v>280</v>
      </c>
    </row>
    <row r="226" spans="1:4" ht="29" x14ac:dyDescent="0.35">
      <c r="A226" s="136" t="s">
        <v>281</v>
      </c>
      <c r="B226" s="125" t="s">
        <v>282</v>
      </c>
      <c r="C226" s="386" t="s">
        <v>41</v>
      </c>
      <c r="D226" s="395" t="s">
        <v>280</v>
      </c>
    </row>
    <row r="227" spans="1:4" x14ac:dyDescent="0.35">
      <c r="A227" s="136" t="s">
        <v>283</v>
      </c>
      <c r="B227" s="125" t="s">
        <v>284</v>
      </c>
      <c r="C227" s="386" t="s">
        <v>285</v>
      </c>
      <c r="D227" s="131" t="s">
        <v>16</v>
      </c>
    </row>
    <row r="228" spans="1:4" ht="29" x14ac:dyDescent="0.35">
      <c r="A228" s="136" t="s">
        <v>286</v>
      </c>
      <c r="B228" s="131" t="s">
        <v>269</v>
      </c>
      <c r="C228" s="383" t="s">
        <v>15</v>
      </c>
      <c r="D228" s="131" t="s">
        <v>16</v>
      </c>
    </row>
    <row r="229" spans="1:4" x14ac:dyDescent="0.35">
      <c r="A229" s="136" t="s">
        <v>287</v>
      </c>
      <c r="B229" s="125" t="s">
        <v>288</v>
      </c>
      <c r="C229" s="386" t="s">
        <v>289</v>
      </c>
      <c r="D229" s="131" t="s">
        <v>16</v>
      </c>
    </row>
    <row r="230" spans="1:4" x14ac:dyDescent="0.35">
      <c r="A230" s="136" t="s">
        <v>290</v>
      </c>
      <c r="B230" s="125" t="s">
        <v>291</v>
      </c>
      <c r="C230" s="386" t="s">
        <v>292</v>
      </c>
      <c r="D230" s="131" t="s">
        <v>16</v>
      </c>
    </row>
    <row r="231" spans="1:4" x14ac:dyDescent="0.35">
      <c r="A231" s="401" t="s">
        <v>293</v>
      </c>
      <c r="B231" s="401"/>
      <c r="C231" s="401"/>
      <c r="D231" s="401"/>
    </row>
    <row r="232" spans="1:4" x14ac:dyDescent="0.35">
      <c r="A232" s="134" t="s">
        <v>294</v>
      </c>
      <c r="B232" s="133" t="s">
        <v>295</v>
      </c>
      <c r="C232" s="387" t="s">
        <v>41</v>
      </c>
      <c r="D232" s="394" t="s">
        <v>296</v>
      </c>
    </row>
    <row r="233" spans="1:4" ht="29" x14ac:dyDescent="0.35">
      <c r="A233" s="134" t="s">
        <v>297</v>
      </c>
      <c r="B233" s="133" t="s">
        <v>298</v>
      </c>
      <c r="C233" s="387" t="s">
        <v>41</v>
      </c>
      <c r="D233" s="394" t="s">
        <v>280</v>
      </c>
    </row>
    <row r="234" spans="1:4" x14ac:dyDescent="0.35">
      <c r="A234" s="134" t="s">
        <v>299</v>
      </c>
      <c r="B234" s="133" t="s">
        <v>300</v>
      </c>
      <c r="C234" s="385" t="s">
        <v>301</v>
      </c>
      <c r="D234" s="394" t="s">
        <v>296</v>
      </c>
    </row>
    <row r="235" spans="1:4" ht="29" x14ac:dyDescent="0.35">
      <c r="A235" s="134" t="s">
        <v>302</v>
      </c>
      <c r="B235" s="129" t="s">
        <v>303</v>
      </c>
      <c r="C235" s="385" t="s">
        <v>304</v>
      </c>
      <c r="D235" s="129" t="s">
        <v>16</v>
      </c>
    </row>
    <row r="236" spans="1:4" ht="29" x14ac:dyDescent="0.35">
      <c r="A236" s="269" t="s">
        <v>305</v>
      </c>
      <c r="B236" s="270" t="s">
        <v>306</v>
      </c>
      <c r="C236" s="388" t="s">
        <v>307</v>
      </c>
      <c r="D236" s="270" t="s">
        <v>16</v>
      </c>
    </row>
  </sheetData>
  <mergeCells count="43">
    <mergeCell ref="A10:D10"/>
    <mergeCell ref="A18:D18"/>
    <mergeCell ref="A1:D1"/>
    <mergeCell ref="A2:D2"/>
    <mergeCell ref="A3:D3"/>
    <mergeCell ref="A4:D4"/>
    <mergeCell ref="A6:D6"/>
    <mergeCell ref="A17:D17"/>
    <mergeCell ref="A7:D7"/>
    <mergeCell ref="A28:D28"/>
    <mergeCell ref="A39:D39"/>
    <mergeCell ref="A50:D50"/>
    <mergeCell ref="A61:D61"/>
    <mergeCell ref="A27:D27"/>
    <mergeCell ref="A72:D72"/>
    <mergeCell ref="A83:D83"/>
    <mergeCell ref="A94:D94"/>
    <mergeCell ref="A105:D105"/>
    <mergeCell ref="A106:D106"/>
    <mergeCell ref="A154:D154"/>
    <mergeCell ref="A159:D159"/>
    <mergeCell ref="A164:D164"/>
    <mergeCell ref="A112:D112"/>
    <mergeCell ref="A118:D118"/>
    <mergeCell ref="A127:D127"/>
    <mergeCell ref="A133:D133"/>
    <mergeCell ref="A134:D134"/>
    <mergeCell ref="A124:D124"/>
    <mergeCell ref="A144:D144"/>
    <mergeCell ref="A149:D149"/>
    <mergeCell ref="A223:D223"/>
    <mergeCell ref="A224:D224"/>
    <mergeCell ref="A231:D231"/>
    <mergeCell ref="A187:D187"/>
    <mergeCell ref="A193:D193"/>
    <mergeCell ref="A194:D194"/>
    <mergeCell ref="A204:D204"/>
    <mergeCell ref="A215:D215"/>
    <mergeCell ref="A165:D165"/>
    <mergeCell ref="A167:D167"/>
    <mergeCell ref="A172:D172"/>
    <mergeCell ref="A177:D177"/>
    <mergeCell ref="A182:D182"/>
  </mergeCells>
  <hyperlinks>
    <hyperlink ref="D12" r:id="rId1" xr:uid="{0546BE05-372F-4FDE-8550-BD656D3CD9F8}"/>
    <hyperlink ref="D13" r:id="rId2" xr:uid="{DD2D006C-0682-46D3-A478-96224BFA6F7B}"/>
    <hyperlink ref="D14" r:id="rId3" xr:uid="{4DB2EDBB-563E-4C3F-ABED-E40C20AE00C6}"/>
    <hyperlink ref="D15" r:id="rId4" xr:uid="{DA97A415-5FD9-4A49-BCB6-EF7EC05760CE}"/>
    <hyperlink ref="D16" r:id="rId5" xr:uid="{FA4243E7-5775-4A9C-B24F-1F03D0B7C3F4}"/>
    <hyperlink ref="D29" r:id="rId6" xr:uid="{E8423AB1-22BF-4549-B06C-60049CB8A9EC}"/>
    <hyperlink ref="D30" r:id="rId7" xr:uid="{342F9727-58BD-498B-87BF-AF8A397BEAD3}"/>
    <hyperlink ref="D32" r:id="rId8" xr:uid="{2656BF3E-2EAE-413E-838E-9446B11DE7F3}"/>
    <hyperlink ref="D33" r:id="rId9" xr:uid="{264E2EEA-FED3-44B7-BB4B-D24F77F58FBD}"/>
    <hyperlink ref="D40" r:id="rId10" xr:uid="{BB976944-AB5A-448C-A39A-22992FAAFCB1}"/>
    <hyperlink ref="D41" r:id="rId11" xr:uid="{420ABFED-2384-490C-B951-82AF8C9DD4C0}"/>
    <hyperlink ref="D52" r:id="rId12" xr:uid="{FC9608FD-F022-4222-B8A9-2B1DD1C93A61}"/>
    <hyperlink ref="D62" r:id="rId13" xr:uid="{97B60408-4457-4A63-83D3-3726186CD24A}"/>
    <hyperlink ref="D63" r:id="rId14" xr:uid="{CED65F90-6198-401F-A3A8-E265DD5A62C7}"/>
    <hyperlink ref="D73" r:id="rId15" xr:uid="{32ABDA73-B34C-4B93-B15F-AF3750060B51}"/>
    <hyperlink ref="D74" r:id="rId16" xr:uid="{F0D21C95-28EF-4B4F-8089-C1A3999B522D}"/>
    <hyperlink ref="D84" r:id="rId17" xr:uid="{D9BC35F3-F898-49F1-A2C8-20436C5690EA}"/>
    <hyperlink ref="D85" r:id="rId18" xr:uid="{DAE83256-665B-46BD-94F8-AF5EE7B38DCE}"/>
    <hyperlink ref="D95" r:id="rId19" xr:uid="{74E37219-0191-48B6-A244-4A91908E2718}"/>
    <hyperlink ref="D96" r:id="rId20" xr:uid="{F2A28600-0CE4-4235-AE22-8926CEF3B7D8}"/>
    <hyperlink ref="D98" r:id="rId21" xr:uid="{90F0E59E-23CF-4861-B1DA-3CDD982FFCF1}"/>
    <hyperlink ref="D99" r:id="rId22" xr:uid="{E1BA3B72-F900-4DC2-8B2E-BDCC12423D90}"/>
    <hyperlink ref="D108" r:id="rId23" xr:uid="{B98267B4-3ED2-4D2E-82DE-44ACBFF16EFE}"/>
    <hyperlink ref="D109" r:id="rId24" xr:uid="{B18A2BE6-64E4-48CC-9537-144D64B43F98}"/>
    <hyperlink ref="D114" r:id="rId25" xr:uid="{539F0795-F2B7-40B3-8A7E-A026B63E3EF9}"/>
    <hyperlink ref="D115" r:id="rId26" xr:uid="{1C10B360-2889-4BEF-A344-385D96322758}"/>
    <hyperlink ref="D120" r:id="rId27" xr:uid="{3A38D05C-0B3B-4E6D-A926-90441C5CB16F}"/>
    <hyperlink ref="D121" r:id="rId28" xr:uid="{B32B0DEE-D622-4B2C-8E3C-761000B59634}"/>
    <hyperlink ref="D129" r:id="rId29" xr:uid="{594441FB-BF91-4ED0-9A58-1510139AC1C1}"/>
    <hyperlink ref="D130" r:id="rId30" xr:uid="{939366CD-52B7-43FA-9C14-556C4FD4810B}"/>
    <hyperlink ref="D135" r:id="rId31" xr:uid="{9EC761F7-E280-487E-A611-A8829763F01D}"/>
    <hyperlink ref="D137" r:id="rId32" xr:uid="{6C757C1A-03E8-4101-875C-2CC29C4D0515}"/>
    <hyperlink ref="D141" r:id="rId33" xr:uid="{EF8AC75E-2125-4FB9-A5B3-C234F2751B43}"/>
    <hyperlink ref="D168" r:id="rId34" xr:uid="{A1FC2906-E4F4-4719-B1BE-17E3F76FF2AD}"/>
    <hyperlink ref="D169" r:id="rId35" xr:uid="{E7035CED-1A48-4AA7-BE12-E8C7BBBEBCDC}"/>
    <hyperlink ref="D173" r:id="rId36" xr:uid="{3313287F-D60A-4CFE-AF73-7E24766CC53E}"/>
    <hyperlink ref="D174" r:id="rId37" xr:uid="{E37976C2-053D-4A8F-A5FC-A2FB9A637868}"/>
    <hyperlink ref="D178" r:id="rId38" xr:uid="{7FF2DB43-C59F-4C10-8F1E-0FF49A52462D}"/>
    <hyperlink ref="D179" r:id="rId39" xr:uid="{56EBE0A9-533E-4A30-8509-E6979498502D}"/>
    <hyperlink ref="D183" r:id="rId40" xr:uid="{1E7A24D3-9DC0-4BA5-AE49-31A4731DE70C}"/>
    <hyperlink ref="D184" r:id="rId41" xr:uid="{472FF486-1854-4BEB-89FE-60AD329D8575}"/>
    <hyperlink ref="D195" r:id="rId42" display="https://www.worldbank.org/en/topic/environment/publication/global-seaweed-new-and-emerging-markets-report-2023" xr:uid="{6DDA9535-0CA8-42F1-9B32-14B9CDC887C0}"/>
    <hyperlink ref="D196" r:id="rId43" display="https://www.worldbank.org/en/topic/environment/publication/global-seaweed-new-and-emerging-markets-report-2023" xr:uid="{10957F5F-6C1F-43A7-A420-2AE64DC4AFB1}"/>
    <hyperlink ref="D198" r:id="rId44" display="https://www.worldbank.org/en/topic/environment/publication/global-seaweed-new-and-emerging-markets-report-2023" xr:uid="{BD9A2DF0-B5CE-452F-8171-5B1896D741E8}"/>
    <hyperlink ref="D199" r:id="rId45" display="https://www.worldbank.org/en/topic/environment/publication/global-seaweed-new-and-emerging-markets-report-2023" xr:uid="{5C4639E2-C752-48AD-8B8B-584E58CED6EF}"/>
    <hyperlink ref="D188" r:id="rId46" xr:uid="{57A0BAFA-FD54-471C-9067-12E20903DD30}"/>
    <hyperlink ref="D205" r:id="rId47" xr:uid="{A4BD104E-63D3-4865-A9FD-5B19CAB67558}"/>
    <hyperlink ref="D206" r:id="rId48" xr:uid="{8A5410A0-E1F0-49B6-AD35-20F60C172958}"/>
    <hyperlink ref="D207" r:id="rId49" xr:uid="{BC0B4142-D095-4535-941B-898237EF1F6D}"/>
    <hyperlink ref="D208" r:id="rId50" xr:uid="{A2416160-D62A-45CE-8DE7-CE8C6923A1E7}"/>
    <hyperlink ref="D209" r:id="rId51" xr:uid="{A0401CF5-C4A5-4EDE-8786-ED1635B44089}"/>
    <hyperlink ref="D216" r:id="rId52" location="Sec2" xr:uid="{B2A73319-CBC5-401E-9DEA-5098B88D20E7}"/>
    <hyperlink ref="D217" r:id="rId53" location="Sec2" xr:uid="{AC3B38BE-7FCD-4B53-8E4A-A3DF0CC1959F}"/>
    <hyperlink ref="D220" r:id="rId54" location="Sec2" display="Economic and biophysical limits to seaweed farming for climate change mitigation | Nature Plants" xr:uid="{3DBB1695-5A55-46C4-8123-B6A585E3E469}"/>
    <hyperlink ref="D225" r:id="rId55" xr:uid="{C52FD33A-954D-4E3F-912A-0B3B99AB5A95}"/>
    <hyperlink ref="D226" r:id="rId56" xr:uid="{5320C578-C1EE-4244-86B9-AF548E254890}"/>
    <hyperlink ref="D233" r:id="rId57" xr:uid="{BB5CA820-F116-4A08-B195-EF62B10516F9}"/>
    <hyperlink ref="D232" r:id="rId58" xr:uid="{9E3C0BD7-7F84-4B4D-9485-471721C00415}"/>
    <hyperlink ref="D234" r:id="rId59" xr:uid="{617DBBE7-5F07-4014-98B4-00BA0DB1F5A8}"/>
    <hyperlink ref="D65" r:id="rId60" xr:uid="{877B193A-BFA0-4DC3-83F8-DC85234E34D8}"/>
    <hyperlink ref="D76" r:id="rId61" display="OES | Ocean Energy and Net Zero: An International Roadmap to Develop 300GW of Ocean Energy by 2050" xr:uid="{3E096F4B-16D3-4998-A87E-DB6B66D72393}"/>
    <hyperlink ref="D77" r:id="rId62" display="OES | Ocean Energy and Net Zero: An International Roadmap to Develop 300GW of Ocean Energy by 2050" xr:uid="{B005D577-04CF-44DB-A51B-88FEEF4DDBC8}"/>
    <hyperlink ref="D87:D88" r:id="rId63" display="OES | Ocean Energy and Net Zero: An International Roadmap to Develop 300GW of Ocean Energy by 2050" xr:uid="{7359B9FD-9D40-4197-9692-322B8A19B967}"/>
    <hyperlink ref="D190" r:id="rId64" display="https://www.pnas.org/doi/abs/10.1073/pnas.2121705119" xr:uid="{359FE92C-34D3-46D4-9BBC-0C3B728162C9}"/>
    <hyperlink ref="D189" r:id="rId65" display="https://www.pnas.org/doi/abs/10.1073/pnas.2121705119" xr:uid="{420987A1-17AA-4B10-9178-9EDBFE5AE816}"/>
    <hyperlink ref="D66" r:id="rId66" xr:uid="{44958415-7102-4F2A-954F-1D3DE702ACC5}"/>
    <hyperlink ref="D19" r:id="rId67" xr:uid="{6372318B-7A33-4002-A3ED-0BF343EB51CF}"/>
    <hyperlink ref="D20" r:id="rId68" display="https://eneroutlook.enerdata.net/total-electricity-generation-projections.html" xr:uid="{3C23F2F5-9359-40D7-89AE-CF308A61EDC9}"/>
    <hyperlink ref="B21" r:id="rId69" display="https://www.bing.com/ck/a?!&amp;&amp;p=1921eb36f2f8ce2a3fdb189c59affd49e3aaf85c1013c4fd43dcb407906899caJmltdHM9MTc0MjM0MjQwMA&amp;ptn=3&amp;ver=2&amp;hsh=4&amp;fclid=3f3a74c2-3e5e-6940-003a-60233fe968a1&amp;u=a1aHR0cHM6Ly9kYXRhLm5yZWwuZ292L3N1Ym1pc3Npb25zLzE3MA&amp;ntb=1" xr:uid="{5DD42C5D-9E17-402B-A5B9-5E703211E2AB}"/>
    <hyperlink ref="D21" r:id="rId70" display="https://data.nrel.gov/submissions/183" xr:uid="{A25A37D4-224B-41C5-9F0E-A69B8A0026E4}"/>
    <hyperlink ref="B22" r:id="rId71" display="https://www.bing.com/ck/a?!&amp;&amp;p=1921eb36f2f8ce2a3fdb189c59affd49e3aaf85c1013c4fd43dcb407906899caJmltdHM9MTc0MjM0MjQwMA&amp;ptn=3&amp;ver=2&amp;hsh=4&amp;fclid=3f3a74c2-3e5e-6940-003a-60233fe968a1&amp;u=a1aHR0cHM6Ly9kYXRhLm5yZWwuZ292L3N1Ym1pc3Npb25zLzE3MA&amp;ntb=1" xr:uid="{59CAAA17-0275-4380-8536-574A5766D38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644B0-0BE7-4B9E-8EF0-8C1360E9BF30}">
  <sheetPr>
    <tabColor theme="5"/>
  </sheetPr>
  <dimension ref="A1:X88"/>
  <sheetViews>
    <sheetView topLeftCell="C50" zoomScale="95" workbookViewId="0">
      <selection activeCell="D83" sqref="D83:W83"/>
    </sheetView>
  </sheetViews>
  <sheetFormatPr defaultColWidth="8.81640625" defaultRowHeight="15" customHeight="1" x14ac:dyDescent="0.35"/>
  <cols>
    <col min="1" max="1" width="60" bestFit="1" customWidth="1"/>
    <col min="2" max="2" width="8" customWidth="1"/>
    <col min="3" max="3" width="11.54296875" style="42" bestFit="1" customWidth="1"/>
    <col min="4" max="4" width="18.453125" style="42" bestFit="1" customWidth="1"/>
    <col min="5" max="5" width="19.453125" style="42" bestFit="1" customWidth="1"/>
    <col min="6" max="18" width="12.26953125" style="42" bestFit="1" customWidth="1"/>
    <col min="19" max="19" width="16.26953125" style="42" customWidth="1"/>
    <col min="20" max="20" width="13.26953125" style="42" bestFit="1" customWidth="1"/>
    <col min="21" max="22" width="16.1796875" style="42" bestFit="1" customWidth="1"/>
    <col min="23" max="23" width="12.26953125" style="42" bestFit="1" customWidth="1"/>
    <col min="25" max="25" width="12.453125" bestFit="1" customWidth="1"/>
  </cols>
  <sheetData>
    <row r="1" spans="1:23" ht="19.5" x14ac:dyDescent="0.45">
      <c r="A1" s="44" t="s">
        <v>557</v>
      </c>
      <c r="B1" s="78">
        <v>0.26922825657751703</v>
      </c>
      <c r="C1" s="158"/>
      <c r="D1" s="41"/>
      <c r="E1" s="41"/>
      <c r="F1" s="41"/>
      <c r="G1" s="41"/>
      <c r="H1" s="41"/>
      <c r="I1" s="41"/>
      <c r="J1" s="41"/>
      <c r="K1" s="41"/>
      <c r="L1" s="41"/>
      <c r="M1" s="41"/>
      <c r="N1" s="41"/>
      <c r="O1" s="41"/>
      <c r="P1" s="41"/>
      <c r="Q1" s="41"/>
      <c r="R1" s="41"/>
      <c r="S1" s="41"/>
      <c r="T1" s="41"/>
      <c r="U1" s="41"/>
      <c r="V1" s="41"/>
      <c r="W1" s="41"/>
    </row>
    <row r="2" spans="1:23" ht="14.5" x14ac:dyDescent="0.35">
      <c r="A2" s="55" t="s">
        <v>66</v>
      </c>
      <c r="B2" s="83">
        <v>0.16</v>
      </c>
      <c r="C2" s="158"/>
      <c r="D2" s="41"/>
      <c r="E2" s="41"/>
      <c r="F2" s="41"/>
      <c r="G2" s="41"/>
      <c r="H2" s="41"/>
      <c r="I2" s="41"/>
      <c r="J2" s="41"/>
      <c r="K2" s="41"/>
      <c r="L2" s="41"/>
      <c r="M2" s="41"/>
      <c r="N2" s="41"/>
      <c r="O2" s="41"/>
      <c r="P2" s="41"/>
      <c r="Q2" s="41"/>
      <c r="R2" s="41"/>
      <c r="S2" s="41"/>
      <c r="T2" s="41"/>
      <c r="U2" s="41"/>
      <c r="V2" s="41"/>
      <c r="W2" s="41"/>
    </row>
    <row r="3" spans="1:23" ht="14.5" x14ac:dyDescent="0.35">
      <c r="A3" s="55" t="s">
        <v>69</v>
      </c>
      <c r="B3" s="84">
        <v>50</v>
      </c>
      <c r="C3" s="158"/>
      <c r="D3" s="41"/>
      <c r="E3" s="41"/>
      <c r="F3" s="41"/>
      <c r="G3" s="41"/>
      <c r="H3" s="41"/>
      <c r="I3" s="41"/>
      <c r="J3" s="41"/>
      <c r="K3" s="41"/>
      <c r="L3" s="41"/>
      <c r="M3" s="41"/>
      <c r="N3" s="41"/>
      <c r="O3" s="41"/>
      <c r="P3" s="41"/>
      <c r="Q3" s="41"/>
      <c r="R3" s="41"/>
      <c r="S3" s="41"/>
      <c r="T3" s="41"/>
      <c r="U3" s="41"/>
      <c r="V3" s="41"/>
      <c r="W3" s="41"/>
    </row>
    <row r="4" spans="1:23" ht="14.5" x14ac:dyDescent="0.35">
      <c r="A4" s="55" t="s">
        <v>72</v>
      </c>
      <c r="B4" s="85">
        <f>'Other Ocean Industry Growth'!F7</f>
        <v>0.11717768581569299</v>
      </c>
      <c r="C4" s="41"/>
      <c r="D4" s="41"/>
      <c r="E4" s="41"/>
      <c r="F4" s="41"/>
      <c r="G4" s="41"/>
      <c r="H4" s="41"/>
      <c r="I4" s="41"/>
      <c r="J4" s="41"/>
      <c r="K4" s="41"/>
      <c r="L4" s="41"/>
      <c r="M4" s="41"/>
      <c r="N4" s="41"/>
      <c r="O4" s="41"/>
      <c r="P4" s="41"/>
      <c r="Q4" s="41"/>
      <c r="R4" s="41"/>
      <c r="S4" s="41"/>
      <c r="T4" s="41"/>
      <c r="U4" s="41"/>
      <c r="V4" s="41"/>
      <c r="W4" s="41"/>
    </row>
    <row r="5" spans="1:23" ht="14.5" x14ac:dyDescent="0.35">
      <c r="A5" s="55" t="s">
        <v>76</v>
      </c>
      <c r="B5" s="86">
        <v>30</v>
      </c>
      <c r="C5" s="41"/>
      <c r="D5" s="41"/>
      <c r="E5" s="41"/>
      <c r="F5" s="41"/>
      <c r="G5" s="41"/>
      <c r="H5" s="41"/>
      <c r="I5" s="41"/>
      <c r="J5" s="41"/>
      <c r="K5" s="41"/>
      <c r="L5" s="41"/>
      <c r="M5" s="41"/>
      <c r="N5" s="41"/>
      <c r="O5" s="41"/>
      <c r="P5" s="41"/>
      <c r="Q5" s="41"/>
      <c r="R5" s="41"/>
      <c r="S5" s="41"/>
      <c r="T5" s="41"/>
      <c r="U5" s="41"/>
      <c r="V5" s="41"/>
      <c r="W5" s="41"/>
    </row>
    <row r="6" spans="1:23" ht="14.5" x14ac:dyDescent="0.35">
      <c r="A6" s="55" t="s">
        <v>78</v>
      </c>
      <c r="B6" s="118">
        <v>275.14999999999998</v>
      </c>
      <c r="C6" s="41"/>
      <c r="D6" s="41"/>
      <c r="E6" s="41"/>
      <c r="F6" s="41"/>
      <c r="G6" s="41"/>
      <c r="H6" s="41"/>
      <c r="I6" s="41"/>
      <c r="J6" s="41"/>
      <c r="K6" s="41"/>
      <c r="L6" s="41"/>
      <c r="M6" s="41"/>
      <c r="N6" s="41"/>
      <c r="O6" s="41"/>
      <c r="P6" s="41"/>
      <c r="Q6" s="41"/>
      <c r="R6" s="41"/>
      <c r="S6" s="41"/>
      <c r="T6" s="41"/>
      <c r="U6" s="41"/>
      <c r="V6" s="41"/>
      <c r="W6" s="41"/>
    </row>
    <row r="7" spans="1:23" ht="14.5" x14ac:dyDescent="0.35">
      <c r="A7" s="51" t="s">
        <v>396</v>
      </c>
      <c r="B7" s="52"/>
      <c r="C7" s="159" t="s">
        <v>558</v>
      </c>
      <c r="D7" s="159" t="s">
        <v>559</v>
      </c>
      <c r="E7" s="160" t="s">
        <v>560</v>
      </c>
      <c r="F7" s="159" t="s">
        <v>561</v>
      </c>
      <c r="G7" s="159" t="s">
        <v>562</v>
      </c>
      <c r="H7" s="159" t="s">
        <v>563</v>
      </c>
      <c r="I7" s="159" t="s">
        <v>564</v>
      </c>
      <c r="J7" s="159" t="s">
        <v>565</v>
      </c>
      <c r="K7" s="159" t="s">
        <v>566</v>
      </c>
      <c r="L7" s="159" t="s">
        <v>567</v>
      </c>
      <c r="M7" s="159" t="s">
        <v>568</v>
      </c>
      <c r="N7" s="159" t="s">
        <v>569</v>
      </c>
      <c r="O7" s="159" t="s">
        <v>570</v>
      </c>
      <c r="P7" s="159" t="s">
        <v>571</v>
      </c>
      <c r="Q7" s="159" t="s">
        <v>572</v>
      </c>
      <c r="R7" s="159" t="s">
        <v>573</v>
      </c>
      <c r="S7" s="159" t="s">
        <v>574</v>
      </c>
      <c r="T7" s="159" t="s">
        <v>575</v>
      </c>
      <c r="U7" s="159" t="s">
        <v>576</v>
      </c>
      <c r="V7" s="159" t="s">
        <v>577</v>
      </c>
      <c r="W7" s="161" t="s">
        <v>578</v>
      </c>
    </row>
    <row r="8" spans="1:23" ht="14.5" x14ac:dyDescent="0.35">
      <c r="A8" s="10" t="s">
        <v>579</v>
      </c>
      <c r="B8" s="17"/>
      <c r="C8" s="370">
        <f>B5</f>
        <v>30</v>
      </c>
      <c r="D8" s="371">
        <f t="shared" ref="D8:V8" si="0">C$8*(1+$B$4)</f>
        <v>33.515330574470788</v>
      </c>
      <c r="E8" s="371">
        <f t="shared" si="0"/>
        <v>37.442579450535213</v>
      </c>
      <c r="F8" s="371">
        <f t="shared" si="0"/>
        <v>41.830014261519153</v>
      </c>
      <c r="G8" s="371">
        <f t="shared" si="0"/>
        <v>46.731558530321401</v>
      </c>
      <c r="H8" s="371">
        <f t="shared" si="0"/>
        <v>52.207454413465072</v>
      </c>
      <c r="I8" s="371">
        <f t="shared" si="0"/>
        <v>58.325003103963198</v>
      </c>
      <c r="J8" s="371">
        <f t="shared" si="0"/>
        <v>65.15939199287871</v>
      </c>
      <c r="K8" s="371">
        <f t="shared" si="0"/>
        <v>72.794618755761832</v>
      </c>
      <c r="L8" s="371">
        <f t="shared" si="0"/>
        <v>81.32452372139764</v>
      </c>
      <c r="M8" s="371">
        <f t="shared" si="0"/>
        <v>90.85394321113445</v>
      </c>
      <c r="N8" s="371">
        <f t="shared" si="0"/>
        <v>101.49999802384558</v>
      </c>
      <c r="O8" s="371">
        <f t="shared" si="0"/>
        <v>113.39353290257722</v>
      </c>
      <c r="P8" s="371">
        <f t="shared" si="0"/>
        <v>126.68072467456686</v>
      </c>
      <c r="Q8" s="371">
        <f t="shared" si="0"/>
        <v>141.52487882938757</v>
      </c>
      <c r="R8" s="371">
        <f t="shared" si="0"/>
        <v>158.10843661596158</v>
      </c>
      <c r="S8" s="371">
        <f t="shared" si="0"/>
        <v>176.63521732655713</v>
      </c>
      <c r="T8" s="371">
        <f t="shared" si="0"/>
        <v>197.33292332643509</v>
      </c>
      <c r="U8" s="371">
        <f t="shared" si="0"/>
        <v>220.45593861707235</v>
      </c>
      <c r="V8" s="371">
        <f t="shared" si="0"/>
        <v>246.28845532854734</v>
      </c>
      <c r="W8" s="371">
        <f>$C8*(1+$B4)^(W7-$C7)</f>
        <v>275.14796656706795</v>
      </c>
    </row>
    <row r="9" spans="1:23" ht="14.5" x14ac:dyDescent="0.35">
      <c r="A9" s="10" t="s">
        <v>80</v>
      </c>
      <c r="B9" s="90" t="s">
        <v>396</v>
      </c>
      <c r="C9" s="370">
        <f>(C8*10^6)*24*365*$B2/10^9</f>
        <v>42.048000000000002</v>
      </c>
      <c r="D9" s="370">
        <f>(D8*10^6)*24*365*$B2/10^9</f>
        <v>46.975087333178251</v>
      </c>
      <c r="E9" s="370">
        <f t="shared" ref="E9:W9" si="1">(E8*10^6)*24*365*$B2/10^9</f>
        <v>52.479519357870167</v>
      </c>
      <c r="F9" s="370">
        <f t="shared" si="1"/>
        <v>58.628947988945242</v>
      </c>
      <c r="G9" s="370">
        <f t="shared" si="1"/>
        <v>65.498952436098477</v>
      </c>
      <c r="H9" s="370">
        <f t="shared" si="1"/>
        <v>73.17396810591265</v>
      </c>
      <c r="I9" s="370">
        <f t="shared" si="1"/>
        <v>81.748324350514821</v>
      </c>
      <c r="J9" s="370">
        <f t="shared" si="1"/>
        <v>91.327403817218809</v>
      </c>
      <c r="K9" s="370">
        <f t="shared" si="1"/>
        <v>102.0289376480758</v>
      </c>
      <c r="L9" s="370">
        <f t="shared" si="1"/>
        <v>113.98445244791094</v>
      </c>
      <c r="M9" s="370">
        <f t="shared" si="1"/>
        <v>127.34088680472605</v>
      </c>
      <c r="N9" s="370">
        <f t="shared" si="1"/>
        <v>142.26239723022198</v>
      </c>
      <c r="O9" s="370">
        <f t="shared" si="1"/>
        <v>158.93237571625224</v>
      </c>
      <c r="P9" s="370">
        <f t="shared" si="1"/>
        <v>177.55570370387292</v>
      </c>
      <c r="Q9" s="370">
        <f t="shared" si="1"/>
        <v>198.36127016726965</v>
      </c>
      <c r="R9" s="370">
        <f t="shared" si="1"/>
        <v>221.60478476093175</v>
      </c>
      <c r="S9" s="370">
        <f t="shared" si="1"/>
        <v>247.57192060490246</v>
      </c>
      <c r="T9" s="370">
        <f t="shared" si="1"/>
        <v>276.58182533433143</v>
      </c>
      <c r="U9" s="370">
        <f t="shared" si="1"/>
        <v>308.99104356568859</v>
      </c>
      <c r="V9" s="370">
        <f t="shared" si="1"/>
        <v>345.19789898849194</v>
      </c>
      <c r="W9" s="370">
        <f t="shared" si="1"/>
        <v>385.64738994040255</v>
      </c>
    </row>
    <row r="10" spans="1:23" ht="14.5" x14ac:dyDescent="0.35">
      <c r="A10" s="101" t="s">
        <v>580</v>
      </c>
      <c r="B10" s="94"/>
      <c r="C10" s="162">
        <f>IF(C9*('Grid Emissions Intensity'!H$43-$B$3)/10^15&lt;0,0,C9*('Grid Emissions Intensity'!H$43-$B$3)/10^6)</f>
        <v>1.1183561781637569E-2</v>
      </c>
      <c r="D10" s="162">
        <f>IF(('Grid Emissions Intensity'!I$43-$B$3)&lt;0,C10,C10+(D9-C9)*('Grid Emissions Intensity'!I$43-$B$3)/10^6)</f>
        <v>1.2454841082753352E-2</v>
      </c>
      <c r="E10" s="162">
        <f>IF(('Grid Emissions Intensity'!J$43-$B$3)&lt;0,D10,D10+(E9-D9)*('Grid Emissions Intensity'!J$43-$B$3)/10^6)</f>
        <v>1.3820374456926857E-2</v>
      </c>
      <c r="F10" s="162">
        <f>IF(('Grid Emissions Intensity'!K$43-$B$3)&lt;0,E10,E10+(F9-E9)*('Grid Emissions Intensity'!K$43-$B$3)/10^6)</f>
        <v>1.5248138698412477E-2</v>
      </c>
      <c r="G10" s="162">
        <f>IF(('Grid Emissions Intensity'!L$43-$B$3)&lt;0,F10,F10+(G9-F9)*('Grid Emissions Intensity'!L$43-$B$3)/10^6)</f>
        <v>1.674762400459438E-2</v>
      </c>
      <c r="H10" s="162">
        <f>IF(('Grid Emissions Intensity'!M$43-$B$3)&lt;0,G10,G10+(H9-G9)*('Grid Emissions Intensity'!M$43-$B$3)/10^6)</f>
        <v>1.8316038102661466E-2</v>
      </c>
      <c r="I10" s="162">
        <f>IF(('Grid Emissions Intensity'!N$43-$B$3)&lt;0,H10,H10+(I9-H9)*('Grid Emissions Intensity'!N$43-$B$3)/10^6)</f>
        <v>1.9965977494580699E-2</v>
      </c>
      <c r="J10" s="162">
        <f>IF(('Grid Emissions Intensity'!O$43-$B$3)&lt;0,I10,I10+(J9-I9)*('Grid Emissions Intensity'!O$43-$B$3)/10^6)</f>
        <v>2.1714052546780299E-2</v>
      </c>
      <c r="K10" s="162">
        <f>IF(('Grid Emissions Intensity'!P$43-$B$3)&lt;0,J10,J10+(K9-J9)*('Grid Emissions Intensity'!P$43-$B$3)/10^6)</f>
        <v>2.3613773514337407E-2</v>
      </c>
      <c r="L10" s="162">
        <f>IF(('Grid Emissions Intensity'!Q$43-$B$3)&lt;0,K10,K10+(L9-K9)*('Grid Emissions Intensity'!Q$43-$B$3)/10^6)</f>
        <v>2.5676680820837929E-2</v>
      </c>
      <c r="M10" s="162">
        <f>IF(('Grid Emissions Intensity'!R$43-$B$3)&lt;0,L10,L10+(M9-L9)*('Grid Emissions Intensity'!R$43-$B$3)/10^6)</f>
        <v>2.7954746544340738E-2</v>
      </c>
      <c r="N10" s="162">
        <f>IF(('Grid Emissions Intensity'!S$43-$B$3)&lt;0,M10,M10+(N9-M9)*('Grid Emissions Intensity'!S$43-$B$3)/10^6)</f>
        <v>3.0499707878134157E-2</v>
      </c>
      <c r="O10" s="162">
        <f>IF(('Grid Emissions Intensity'!T$43-$B$3)&lt;0,N10,N10+(O9-N9)*('Grid Emissions Intensity'!T$43-$B$3)/10^6)</f>
        <v>3.3342837122875897E-2</v>
      </c>
      <c r="P10" s="162">
        <f>IF(('Grid Emissions Intensity'!U$43-$B$3)&lt;0,O10,O10+(P9-O9)*('Grid Emissions Intensity'!U$43-$B$3)/10^6)</f>
        <v>3.6519070807622775E-2</v>
      </c>
      <c r="Q10" s="162">
        <f>IF(('Grid Emissions Intensity'!V$43-$B$3)&lt;0,P10,P10+(Q9-P9)*('Grid Emissions Intensity'!V$43-$B$3)/10^6)</f>
        <v>4.0067439044238304E-2</v>
      </c>
      <c r="R10" s="162">
        <f>IF(('Grid Emissions Intensity'!W$43-$B$3)&lt;0,Q10,Q10+(R9-Q9)*('Grid Emissions Intensity'!W$43-$B$3)/10^6)</f>
        <v>4.4031545191036123E-2</v>
      </c>
      <c r="S10" s="162">
        <f>IF(('Grid Emissions Intensity'!X$43-$B$3)&lt;0,R10,R10+(S9-R9)*('Grid Emissions Intensity'!X$43-$B$3)/10^6)</f>
        <v>4.8460071062666352E-2</v>
      </c>
      <c r="T10" s="162">
        <f>IF(('Grid Emissions Intensity'!Y$43-$B$3)&lt;0,S10,S10+(T9-S9)*('Grid Emissions Intensity'!Y$43-$B$3)/10^6)</f>
        <v>5.3349792564846288E-2</v>
      </c>
      <c r="U10" s="162">
        <f>IF(('Grid Emissions Intensity'!Z$43-$B$3)&lt;0,T10,T10+(U9-T9)*('Grid Emissions Intensity'!Z$43-$B$3)/10^6)</f>
        <v>5.8747993497878397E-2</v>
      </c>
      <c r="V10" s="162">
        <f>IF(('Grid Emissions Intensity'!AA$43-$B$3)&lt;0,U10,U10+(V9-U9)*('Grid Emissions Intensity'!AA$43-$B$3)/10^6)</f>
        <v>6.4706706637841838E-2</v>
      </c>
      <c r="W10" s="162">
        <f>IF(('Grid Emissions Intensity'!AB$43-$B$3)&lt;0,V10,V10+(W9-V9)*('Grid Emissions Intensity'!AB$43-$B$3)/10^6)</f>
        <v>7.1363541446816225E-2</v>
      </c>
    </row>
    <row r="11" spans="1:23" ht="14.5" x14ac:dyDescent="0.35">
      <c r="A11" s="40" t="s">
        <v>581</v>
      </c>
      <c r="B11" s="375">
        <f>SUM(C10:W10)</f>
        <v>0.68778451430181964</v>
      </c>
    </row>
    <row r="12" spans="1:23" ht="14.5" x14ac:dyDescent="0.35">
      <c r="A12" s="109" t="s">
        <v>582</v>
      </c>
      <c r="B12" s="376">
        <f>SUM(C10:L10)</f>
        <v>0.17874106250352245</v>
      </c>
      <c r="C12" s="41"/>
      <c r="D12" s="41"/>
      <c r="E12" s="41"/>
      <c r="F12" s="41"/>
      <c r="G12" s="41"/>
      <c r="H12" s="41"/>
      <c r="I12" s="41"/>
      <c r="J12" s="41"/>
      <c r="K12" s="41"/>
      <c r="L12" s="41"/>
      <c r="M12" s="41"/>
      <c r="N12" s="41"/>
      <c r="O12" s="41"/>
      <c r="P12" s="41"/>
      <c r="Q12" s="41"/>
      <c r="R12" s="41"/>
      <c r="S12" s="41"/>
      <c r="T12" s="41"/>
      <c r="U12" s="41"/>
      <c r="V12" s="41"/>
      <c r="W12" s="41"/>
    </row>
    <row r="13" spans="1:23" ht="19.5" x14ac:dyDescent="0.45">
      <c r="A13" s="80" t="s">
        <v>95</v>
      </c>
      <c r="B13" s="78">
        <v>0.63828011753001523</v>
      </c>
      <c r="C13" s="41"/>
      <c r="D13" s="41"/>
      <c r="E13" s="41"/>
      <c r="F13" s="41"/>
      <c r="G13" s="41"/>
      <c r="H13" s="41"/>
      <c r="I13" s="41"/>
      <c r="J13" s="41"/>
      <c r="K13" s="41"/>
      <c r="L13" s="41"/>
      <c r="M13" s="41"/>
      <c r="N13" s="41"/>
      <c r="O13" s="41"/>
      <c r="P13" s="41"/>
      <c r="Q13" s="41"/>
      <c r="R13" s="41"/>
      <c r="S13" s="41"/>
      <c r="T13" s="41"/>
      <c r="U13" s="41"/>
      <c r="V13" s="41"/>
      <c r="W13" s="41"/>
    </row>
    <row r="14" spans="1:23" ht="14.5" x14ac:dyDescent="0.35">
      <c r="A14" s="55" t="s">
        <v>66</v>
      </c>
      <c r="B14" s="110">
        <v>0.95</v>
      </c>
      <c r="C14" s="41"/>
      <c r="G14" s="41"/>
      <c r="H14" s="41"/>
      <c r="I14" s="41"/>
      <c r="J14" s="41"/>
      <c r="K14" s="41"/>
      <c r="L14" s="41"/>
      <c r="M14" s="41"/>
      <c r="N14" s="41"/>
      <c r="O14" s="41"/>
      <c r="P14" s="41"/>
      <c r="Q14" s="41"/>
      <c r="R14" s="41"/>
      <c r="S14" s="41"/>
      <c r="T14" s="41"/>
      <c r="U14" s="41"/>
      <c r="V14" s="41"/>
      <c r="W14" s="41"/>
    </row>
    <row r="15" spans="1:23" ht="14.5" x14ac:dyDescent="0.35">
      <c r="A15" s="55" t="s">
        <v>69</v>
      </c>
      <c r="B15" s="111">
        <v>50</v>
      </c>
      <c r="C15" s="41"/>
      <c r="G15" s="41"/>
      <c r="H15" s="41"/>
      <c r="I15" s="41"/>
      <c r="J15" s="41"/>
      <c r="K15" s="41"/>
      <c r="L15" s="41"/>
      <c r="M15" s="41"/>
      <c r="N15" s="41"/>
      <c r="O15" s="41"/>
      <c r="P15" s="41"/>
      <c r="Q15" s="41"/>
      <c r="R15" s="41"/>
      <c r="S15" s="41"/>
      <c r="T15" s="41"/>
      <c r="U15" s="41"/>
      <c r="V15" s="41"/>
      <c r="W15" s="41"/>
    </row>
    <row r="16" spans="1:23" ht="14.5" x14ac:dyDescent="0.35">
      <c r="A16" s="55" t="s">
        <v>72</v>
      </c>
      <c r="B16" s="82">
        <f>'Other Ocean Industry Growth'!F7</f>
        <v>0.11717768581569299</v>
      </c>
      <c r="C16" s="41"/>
      <c r="G16" s="41"/>
      <c r="H16" s="41"/>
      <c r="I16" s="41"/>
      <c r="J16" s="41"/>
      <c r="K16" s="41"/>
      <c r="L16" s="41"/>
      <c r="M16" s="41"/>
      <c r="N16" s="41"/>
      <c r="O16" s="41"/>
      <c r="P16" s="41"/>
      <c r="Q16" s="41"/>
      <c r="R16" s="41"/>
      <c r="S16" s="41"/>
      <c r="T16" s="41"/>
      <c r="U16" s="41"/>
      <c r="V16" s="41"/>
      <c r="W16" s="41"/>
    </row>
    <row r="17" spans="1:23" ht="14.5" x14ac:dyDescent="0.35">
      <c r="A17" s="55" t="s">
        <v>76</v>
      </c>
      <c r="B17" s="119">
        <f>C20</f>
        <v>14.728633031285634</v>
      </c>
      <c r="C17" s="158"/>
      <c r="G17" s="41"/>
      <c r="H17" s="41"/>
      <c r="I17" s="41"/>
      <c r="J17" s="41"/>
      <c r="K17" s="41"/>
      <c r="L17" s="41"/>
      <c r="M17" s="41"/>
      <c r="N17" s="41"/>
      <c r="O17" s="41"/>
      <c r="P17" s="41"/>
      <c r="Q17" s="41"/>
      <c r="R17" s="41"/>
      <c r="S17" s="41"/>
      <c r="T17" s="41"/>
      <c r="U17" s="41"/>
      <c r="V17" s="41"/>
      <c r="W17" s="41"/>
    </row>
    <row r="18" spans="1:23" ht="14.5" x14ac:dyDescent="0.35">
      <c r="A18" s="47" t="s">
        <v>78</v>
      </c>
      <c r="B18" s="120">
        <f>W20</f>
        <v>178.113322473263</v>
      </c>
      <c r="C18" s="16"/>
      <c r="G18" s="41"/>
      <c r="H18" s="41"/>
      <c r="I18" s="41"/>
      <c r="J18" s="41"/>
      <c r="K18" s="41"/>
      <c r="L18" s="41"/>
      <c r="M18" s="41"/>
      <c r="N18" s="41"/>
      <c r="O18" s="41"/>
      <c r="P18" s="41"/>
      <c r="Q18" s="41"/>
      <c r="R18" s="41"/>
      <c r="S18" s="41"/>
      <c r="T18" s="41"/>
      <c r="U18" s="41"/>
      <c r="V18" s="41"/>
      <c r="W18" s="41"/>
    </row>
    <row r="19" spans="1:23" ht="14.5" x14ac:dyDescent="0.35">
      <c r="A19" s="51"/>
      <c r="B19" s="52"/>
      <c r="C19" s="163">
        <v>2030</v>
      </c>
      <c r="D19" s="163">
        <v>2031</v>
      </c>
      <c r="E19" s="164">
        <v>2032</v>
      </c>
      <c r="F19" s="163">
        <v>2033</v>
      </c>
      <c r="G19" s="163">
        <v>2034</v>
      </c>
      <c r="H19" s="163">
        <v>2035</v>
      </c>
      <c r="I19" s="163">
        <v>2036</v>
      </c>
      <c r="J19" s="163">
        <v>2037</v>
      </c>
      <c r="K19" s="163">
        <v>2038</v>
      </c>
      <c r="L19" s="163">
        <v>2039</v>
      </c>
      <c r="M19" s="163">
        <v>2040</v>
      </c>
      <c r="N19" s="163">
        <v>2041</v>
      </c>
      <c r="O19" s="163">
        <v>2042</v>
      </c>
      <c r="P19" s="163">
        <v>2043</v>
      </c>
      <c r="Q19" s="163">
        <v>2044</v>
      </c>
      <c r="R19" s="163">
        <v>2045</v>
      </c>
      <c r="S19" s="163">
        <v>2046</v>
      </c>
      <c r="T19" s="163">
        <v>2047</v>
      </c>
      <c r="U19" s="163">
        <v>2048</v>
      </c>
      <c r="V19" s="163">
        <v>2049</v>
      </c>
      <c r="W19" s="165">
        <v>2050</v>
      </c>
    </row>
    <row r="20" spans="1:23" ht="14.5" x14ac:dyDescent="0.35">
      <c r="A20" s="10" t="s">
        <v>583</v>
      </c>
      <c r="B20" s="17"/>
      <c r="C20" s="370">
        <f t="shared" ref="C20:V20" si="2">D20*(1-$B16)</f>
        <v>14.728633031285634</v>
      </c>
      <c r="D20" s="370">
        <f t="shared" si="2"/>
        <v>16.683575839260826</v>
      </c>
      <c r="E20" s="370">
        <f t="shared" si="2"/>
        <v>18.897999712066397</v>
      </c>
      <c r="F20" s="370">
        <f t="shared" si="2"/>
        <v>21.40634577132025</v>
      </c>
      <c r="G20" s="370">
        <f t="shared" si="2"/>
        <v>24.247626535243242</v>
      </c>
      <c r="H20" s="370">
        <f t="shared" si="2"/>
        <v>27.46603268365174</v>
      </c>
      <c r="I20" s="370">
        <f t="shared" si="2"/>
        <v>31.111620359335017</v>
      </c>
      <c r="J20" s="370">
        <f t="shared" si="2"/>
        <v>35.241089695473917</v>
      </c>
      <c r="K20" s="370">
        <f t="shared" si="2"/>
        <v>39.918666677603511</v>
      </c>
      <c r="L20" s="370">
        <f t="shared" si="2"/>
        <v>45.217102055793397</v>
      </c>
      <c r="M20" s="370">
        <f t="shared" si="2"/>
        <v>51.218802843211115</v>
      </c>
      <c r="N20" s="370">
        <f t="shared" si="2"/>
        <v>58.017113999361548</v>
      </c>
      <c r="O20" s="370">
        <f t="shared" si="2"/>
        <v>65.717770232129979</v>
      </c>
      <c r="P20" s="370">
        <f t="shared" si="2"/>
        <v>74.44054049862865</v>
      </c>
      <c r="Q20" s="370">
        <f t="shared" si="2"/>
        <v>84.321090781907543</v>
      </c>
      <c r="R20" s="370">
        <f t="shared" si="2"/>
        <v>95.513094115452787</v>
      </c>
      <c r="S20" s="370">
        <f t="shared" si="2"/>
        <v>108.19062067286227</v>
      </c>
      <c r="T20" s="370">
        <f t="shared" si="2"/>
        <v>122.5508450959649</v>
      </c>
      <c r="U20" s="370">
        <f t="shared" si="2"/>
        <v>138.81711316868677</v>
      </c>
      <c r="V20" s="370">
        <f t="shared" si="2"/>
        <v>157.24241553290179</v>
      </c>
      <c r="W20" s="370">
        <f>'OTEC Potential _Secondary'!B8</f>
        <v>178.113322473263</v>
      </c>
    </row>
    <row r="21" spans="1:23" ht="14.5" x14ac:dyDescent="0.35">
      <c r="A21" s="10" t="s">
        <v>584</v>
      </c>
      <c r="B21" s="17" t="s">
        <v>396</v>
      </c>
      <c r="C21" s="372">
        <f>(C20*10^6)*24*365*$B14/10^9</f>
        <v>122.57168408635904</v>
      </c>
      <c r="D21" s="372">
        <f>(D20*10^6)*24*365*$B14/10^9</f>
        <v>138.84071813432857</v>
      </c>
      <c r="E21" s="372">
        <f t="shared" ref="E21:W21" si="3">(E20*10^6)*24*365*$B14/10^9</f>
        <v>157.26915360381653</v>
      </c>
      <c r="F21" s="372">
        <f t="shared" si="3"/>
        <v>178.14360950892709</v>
      </c>
      <c r="G21" s="372">
        <f t="shared" si="3"/>
        <v>201.78874802629426</v>
      </c>
      <c r="H21" s="372">
        <f t="shared" si="3"/>
        <v>228.57232399334976</v>
      </c>
      <c r="I21" s="372">
        <f t="shared" si="3"/>
        <v>258.91090463038597</v>
      </c>
      <c r="J21" s="372">
        <f t="shared" si="3"/>
        <v>293.27634844573396</v>
      </c>
      <c r="K21" s="372">
        <f t="shared" si="3"/>
        <v>332.20314409101644</v>
      </c>
      <c r="L21" s="372">
        <f t="shared" si="3"/>
        <v>376.29672330831261</v>
      </c>
      <c r="M21" s="372">
        <f t="shared" si="3"/>
        <v>426.24287726120286</v>
      </c>
      <c r="N21" s="372">
        <f t="shared" si="3"/>
        <v>482.81842270268669</v>
      </c>
      <c r="O21" s="372">
        <f t="shared" si="3"/>
        <v>546.90328387178556</v>
      </c>
      <c r="P21" s="372">
        <f t="shared" si="3"/>
        <v>619.49417802958749</v>
      </c>
      <c r="Q21" s="372">
        <f t="shared" si="3"/>
        <v>701.72011748703437</v>
      </c>
      <c r="R21" s="372">
        <f t="shared" si="3"/>
        <v>794.85996922879815</v>
      </c>
      <c r="S21" s="372">
        <f t="shared" si="3"/>
        <v>900.36234523955955</v>
      </c>
      <c r="T21" s="372">
        <f t="shared" si="3"/>
        <v>1019.8681328886199</v>
      </c>
      <c r="U21" s="372">
        <f t="shared" si="3"/>
        <v>1155.2360157898115</v>
      </c>
      <c r="V21" s="372">
        <f t="shared" si="3"/>
        <v>1308.5713820648086</v>
      </c>
      <c r="W21" s="372">
        <f t="shared" si="3"/>
        <v>1482.2590696224943</v>
      </c>
    </row>
    <row r="22" spans="1:23" ht="14.5" x14ac:dyDescent="0.35">
      <c r="A22" s="101" t="s">
        <v>580</v>
      </c>
      <c r="B22" s="90"/>
      <c r="C22" s="166">
        <f>IF(('Grid Emissions Intensity'!H$34-$B$15)&lt;0,0,C21*('Grid Emissions Intensity'!H$34-$B$15)/10^6)</f>
        <v>3.0238096181423629E-2</v>
      </c>
      <c r="D22" s="166">
        <f>IF(('Grid Emissions Intensity'!I$34-$B$15)&lt;0,C22,C22+(D21-C21)*('Grid Emissions Intensity'!I$34-$B$15)/10^6)</f>
        <v>3.4133191575469062E-2</v>
      </c>
      <c r="E22" s="166">
        <f>IF(('Grid Emissions Intensity'!J$34-$B$15)&lt;0,D22,D22+(E21-D21)*('Grid Emissions Intensity'!J$34-$B$15)/10^6)</f>
        <v>3.8376256657442903E-2</v>
      </c>
      <c r="F22" s="166">
        <f>IF(('Grid Emissions Intensity'!K$34-$B$15)&lt;0,E22,E22+(F21-E21)*('Grid Emissions Intensity'!K$34-$B$15)/10^6)</f>
        <v>4.2873489249291526E-2</v>
      </c>
      <c r="G22" s="166">
        <f>IF(('Grid Emissions Intensity'!L$34-$B$15)&lt;0,F22,F22+(G21-F21)*('Grid Emissions Intensity'!L$34-$B$15)/10^6)</f>
        <v>4.7661207227895144E-2</v>
      </c>
      <c r="H22" s="166">
        <f>IF(('Grid Emissions Intensity'!M$34-$B$15)&lt;0,G22,G22+(H21-G21)*('Grid Emissions Intensity'!M$34-$B$15)/10^6)</f>
        <v>5.2736710929755827E-2</v>
      </c>
      <c r="I22" s="166">
        <f>IF(('Grid Emissions Intensity'!N$34-$B$15)&lt;0,H22,H22+(I21-H21)*('Grid Emissions Intensity'!N$34-$B$15)/10^6)</f>
        <v>5.8149238717202609E-2</v>
      </c>
      <c r="J22" s="166">
        <f>IF(('Grid Emissions Intensity'!O$34-$B$15)&lt;0,I22,I22+(J21-I21)*('Grid Emissions Intensity'!O$34-$B$15)/10^6)</f>
        <v>6.3962469669758187E-2</v>
      </c>
      <c r="K22" s="166">
        <f>IF(('Grid Emissions Intensity'!P$34-$B$15)&lt;0,J22,J22+(K21-J21)*('Grid Emissions Intensity'!P$34-$B$15)/10^6)</f>
        <v>7.0369117457752373E-2</v>
      </c>
      <c r="L22" s="166">
        <f>IF(('Grid Emissions Intensity'!Q$34-$B$15)&lt;0,K22,K22+(L21-K21)*('Grid Emissions Intensity'!Q$34-$B$15)/10^6)</f>
        <v>7.742379112284864E-2</v>
      </c>
      <c r="M22" s="166">
        <f>IF(('Grid Emissions Intensity'!R$34-$B$15)&lt;0,L22,L22+(M21-L21)*('Grid Emissions Intensity'!R$34-$B$15)/10^6)</f>
        <v>8.5325659311651703E-2</v>
      </c>
      <c r="N22" s="166">
        <f>IF(('Grid Emissions Intensity'!S$34-$B$15)&lt;0,M22,M22+(N21-M21)*('Grid Emissions Intensity'!S$34-$B$15)/10^6)</f>
        <v>9.4280863055600711E-2</v>
      </c>
      <c r="O22" s="166">
        <f>IF(('Grid Emissions Intensity'!T$34-$B$15)&lt;0,N22,N22+(O21-N21)*('Grid Emissions Intensity'!T$34-$B$15)/10^6)</f>
        <v>0.10442951792734642</v>
      </c>
      <c r="P22" s="166">
        <f>IF(('Grid Emissions Intensity'!U$34-$B$15)&lt;0,O22,O22+(P21-O21)*('Grid Emissions Intensity'!U$34-$B$15)/10^6)</f>
        <v>0.11593036657775847</v>
      </c>
      <c r="Q22" s="166">
        <f>IF(('Grid Emissions Intensity'!V$34-$B$15)&lt;0,P22,P22+(Q21-P21)*('Grid Emissions Intensity'!V$34-$B$15)/10^6)</f>
        <v>0.12896325382225063</v>
      </c>
      <c r="R22" s="166">
        <f>IF(('Grid Emissions Intensity'!W$34-$B$15)&lt;0,Q22,Q22+(R21-Q21)*('Grid Emissions Intensity'!W$34-$B$15)/10^6)</f>
        <v>0.14373193053955827</v>
      </c>
      <c r="S22" s="166">
        <f>IF(('Grid Emissions Intensity'!X$34-$B$15)&lt;0,R22,R22+(S21-R21)*('Grid Emissions Intensity'!X$34-$B$15)/10^6)</f>
        <v>0.16046270771560822</v>
      </c>
      <c r="T22" s="166">
        <f>IF(('Grid Emissions Intensity'!Y$34-$B$15)&lt;0,S22,S22+(T21-S21)*('Grid Emissions Intensity'!Y$34-$B$15)/10^6)</f>
        <v>0.17919159355371728</v>
      </c>
      <c r="U22" s="166">
        <f>IF(('Grid Emissions Intensity'!Z$34-$B$15)&lt;0,T22,T22+(U21-T21)*('Grid Emissions Intensity'!Z$34-$B$15)/10^6)</f>
        <v>0.20015412645257866</v>
      </c>
      <c r="V22" s="166">
        <f>IF(('Grid Emissions Intensity'!AA$34-$B$15)&lt;0,U22,U22+(V21-U21)*('Grid Emissions Intensity'!AA$34-$B$15)/10^6)</f>
        <v>0.22361316097658113</v>
      </c>
      <c r="W22" s="166">
        <f>IF(('Grid Emissions Intensity'!AB$34-$B$15)&lt;0,V22,V22+(W21-V21)*('Grid Emissions Intensity'!AB$34-$B$15)/10^6)</f>
        <v>0.25018844734309931</v>
      </c>
    </row>
    <row r="23" spans="1:23" ht="14.5" x14ac:dyDescent="0.35">
      <c r="A23" s="45" t="s">
        <v>581</v>
      </c>
      <c r="B23" s="377">
        <f>SUM($C$22:$W$22)</f>
        <v>2.2021951960645909</v>
      </c>
      <c r="C23" s="41"/>
      <c r="D23" s="41"/>
      <c r="E23" s="41"/>
      <c r="F23" s="41"/>
      <c r="G23" s="41"/>
      <c r="H23" s="41"/>
      <c r="I23" s="41"/>
      <c r="J23" s="41"/>
      <c r="K23" s="41"/>
      <c r="L23" s="41"/>
      <c r="M23" s="41"/>
      <c r="N23" s="41"/>
      <c r="O23" s="41"/>
      <c r="P23" s="41"/>
      <c r="Q23" s="41"/>
      <c r="R23" s="41"/>
      <c r="S23" s="41"/>
      <c r="T23" s="41"/>
      <c r="U23" s="41"/>
      <c r="V23" s="41"/>
      <c r="W23" s="41"/>
    </row>
    <row r="24" spans="1:23" ht="14.5" x14ac:dyDescent="0.35">
      <c r="A24" s="18" t="s">
        <v>582</v>
      </c>
      <c r="B24" s="377">
        <f>SUM($C$22:$L$22)</f>
        <v>0.51592356878883983</v>
      </c>
      <c r="C24" s="41"/>
      <c r="D24" s="41"/>
      <c r="E24" s="41"/>
      <c r="F24" s="41"/>
      <c r="G24" s="41"/>
      <c r="H24" s="41"/>
      <c r="I24" s="41"/>
      <c r="J24" s="41"/>
      <c r="K24" s="41"/>
      <c r="L24" s="41"/>
      <c r="M24" s="41"/>
      <c r="N24" s="41"/>
      <c r="O24" s="41"/>
      <c r="P24" s="41"/>
      <c r="Q24" s="41"/>
      <c r="R24" s="41"/>
      <c r="S24" s="41"/>
      <c r="T24" s="41"/>
      <c r="U24" s="41"/>
      <c r="V24" s="41"/>
      <c r="W24" s="41"/>
    </row>
    <row r="25" spans="1:23" ht="19.5" x14ac:dyDescent="0.45">
      <c r="A25" s="44" t="s">
        <v>379</v>
      </c>
      <c r="B25" s="78">
        <v>1.3400322282689175E-2</v>
      </c>
      <c r="C25" s="41"/>
      <c r="D25" s="41"/>
      <c r="E25" s="41"/>
      <c r="F25" s="41"/>
      <c r="G25" s="41"/>
      <c r="H25" s="41"/>
      <c r="I25" s="41"/>
      <c r="J25" s="41"/>
      <c r="K25" s="41"/>
      <c r="L25" s="41"/>
      <c r="M25" s="41"/>
      <c r="N25" s="41"/>
      <c r="O25" s="41"/>
      <c r="P25" s="41"/>
      <c r="Q25" s="41"/>
      <c r="R25" s="41"/>
      <c r="S25" s="41"/>
      <c r="T25" s="41"/>
      <c r="U25" s="41"/>
      <c r="V25" s="41"/>
      <c r="W25" s="41"/>
    </row>
    <row r="26" spans="1:23" ht="14.5" x14ac:dyDescent="0.35">
      <c r="A26" s="55" t="s">
        <v>66</v>
      </c>
      <c r="B26" s="54">
        <v>0.9</v>
      </c>
      <c r="C26" s="41"/>
      <c r="D26" s="41"/>
      <c r="E26" s="41"/>
      <c r="F26" s="41"/>
      <c r="G26" s="41"/>
      <c r="H26" s="41"/>
      <c r="I26" s="41"/>
      <c r="J26" s="41"/>
      <c r="K26" s="41"/>
      <c r="L26" s="41"/>
      <c r="M26" s="41"/>
      <c r="N26" s="41"/>
      <c r="O26" s="41"/>
      <c r="P26" s="41"/>
      <c r="Q26" s="41"/>
      <c r="R26" s="41"/>
      <c r="S26" s="41"/>
      <c r="T26" s="41"/>
      <c r="U26" s="41"/>
      <c r="V26" s="41"/>
      <c r="W26" s="41"/>
    </row>
    <row r="27" spans="1:23" ht="14.5" x14ac:dyDescent="0.35">
      <c r="A27" s="55" t="s">
        <v>69</v>
      </c>
      <c r="B27" s="47">
        <v>50</v>
      </c>
      <c r="C27" s="41"/>
      <c r="D27" s="41"/>
      <c r="E27" s="41"/>
      <c r="F27" s="41"/>
      <c r="G27" s="41"/>
      <c r="H27" s="41"/>
      <c r="I27" s="41"/>
      <c r="J27" s="41"/>
      <c r="K27" s="41"/>
      <c r="L27" s="41"/>
      <c r="M27" s="41"/>
      <c r="N27" s="41"/>
      <c r="O27" s="41"/>
      <c r="P27" s="41"/>
      <c r="Q27" s="41"/>
      <c r="R27" s="41"/>
      <c r="S27" s="41"/>
      <c r="T27" s="41"/>
      <c r="U27" s="41"/>
      <c r="V27" s="41"/>
      <c r="W27" s="41"/>
    </row>
    <row r="28" spans="1:23" ht="14.5" x14ac:dyDescent="0.35">
      <c r="A28" s="55" t="s">
        <v>72</v>
      </c>
      <c r="B28" s="54">
        <f>'Other Ocean Industry Growth'!F7</f>
        <v>0.11717768581569299</v>
      </c>
      <c r="C28" s="41"/>
      <c r="D28" s="41"/>
      <c r="E28" s="41"/>
      <c r="F28" s="41"/>
      <c r="G28" s="41"/>
      <c r="H28" s="41"/>
      <c r="I28" s="41"/>
      <c r="J28" s="41"/>
      <c r="K28" s="41"/>
      <c r="L28" s="41"/>
      <c r="M28" s="41"/>
      <c r="N28" s="41"/>
      <c r="O28" s="41"/>
      <c r="P28" s="41"/>
      <c r="Q28" s="41"/>
      <c r="R28" s="41"/>
      <c r="S28" s="41"/>
      <c r="T28" s="41"/>
      <c r="U28" s="41"/>
      <c r="V28" s="41"/>
      <c r="W28" s="41"/>
    </row>
    <row r="29" spans="1:23" ht="14.5" x14ac:dyDescent="0.35">
      <c r="A29" s="55" t="s">
        <v>76</v>
      </c>
      <c r="B29" s="47">
        <v>0.5</v>
      </c>
      <c r="C29" s="41"/>
      <c r="D29" s="41"/>
      <c r="E29" s="41"/>
      <c r="F29" s="41"/>
      <c r="G29" s="41"/>
      <c r="H29" s="41"/>
      <c r="I29" s="41"/>
      <c r="J29" s="41"/>
      <c r="K29" s="41"/>
      <c r="L29" s="41"/>
      <c r="M29" s="41"/>
      <c r="N29" s="41"/>
      <c r="O29" s="41"/>
      <c r="P29" s="41"/>
      <c r="Q29" s="41"/>
      <c r="R29" s="41"/>
      <c r="S29" s="41"/>
      <c r="T29" s="41"/>
      <c r="U29" s="41"/>
      <c r="V29" s="41"/>
      <c r="W29" s="41"/>
    </row>
    <row r="30" spans="1:23" ht="14.5" x14ac:dyDescent="0.35">
      <c r="A30" s="47" t="s">
        <v>78</v>
      </c>
      <c r="B30" s="121">
        <v>4.5857994427844657</v>
      </c>
      <c r="C30" s="41"/>
      <c r="D30" s="41"/>
      <c r="E30" s="41"/>
      <c r="F30" s="41"/>
      <c r="G30" s="41"/>
      <c r="H30" s="41"/>
      <c r="I30" s="41"/>
      <c r="J30" s="41"/>
      <c r="K30" s="41"/>
      <c r="L30" s="41"/>
      <c r="M30" s="41"/>
      <c r="N30" s="41"/>
      <c r="O30" s="41"/>
      <c r="P30" s="41"/>
      <c r="Q30" s="41"/>
      <c r="R30" s="41"/>
      <c r="S30" s="41"/>
      <c r="T30" s="41"/>
      <c r="U30" s="41"/>
      <c r="V30" s="41"/>
      <c r="W30" s="41"/>
    </row>
    <row r="31" spans="1:23" ht="14.5" x14ac:dyDescent="0.35">
      <c r="A31" s="51"/>
      <c r="B31" s="52"/>
      <c r="C31" s="163">
        <v>2030</v>
      </c>
      <c r="D31" s="163">
        <v>2031</v>
      </c>
      <c r="E31" s="164">
        <v>2032</v>
      </c>
      <c r="F31" s="163">
        <v>2033</v>
      </c>
      <c r="G31" s="163">
        <v>2034</v>
      </c>
      <c r="H31" s="163">
        <v>2035</v>
      </c>
      <c r="I31" s="163">
        <v>2036</v>
      </c>
      <c r="J31" s="163">
        <v>2037</v>
      </c>
      <c r="K31" s="163">
        <v>2038</v>
      </c>
      <c r="L31" s="163">
        <v>2039</v>
      </c>
      <c r="M31" s="163">
        <v>2040</v>
      </c>
      <c r="N31" s="163">
        <v>2041</v>
      </c>
      <c r="O31" s="163">
        <v>2042</v>
      </c>
      <c r="P31" s="163">
        <v>2043</v>
      </c>
      <c r="Q31" s="163">
        <v>2044</v>
      </c>
      <c r="R31" s="163">
        <v>2045</v>
      </c>
      <c r="S31" s="163">
        <v>2046</v>
      </c>
      <c r="T31" s="163">
        <v>2047</v>
      </c>
      <c r="U31" s="163">
        <v>2048</v>
      </c>
      <c r="V31" s="163">
        <v>2049</v>
      </c>
      <c r="W31" s="165">
        <v>2050</v>
      </c>
    </row>
    <row r="32" spans="1:23" ht="14.5" x14ac:dyDescent="0.35">
      <c r="A32" s="10" t="s">
        <v>585</v>
      </c>
      <c r="B32" s="17"/>
      <c r="C32" s="370">
        <f>B29</f>
        <v>0.5</v>
      </c>
      <c r="D32" s="370">
        <f t="shared" ref="D32:W32" si="4">$C32*(1+$B$28)^(D31-$C31)</f>
        <v>0.55858884290784649</v>
      </c>
      <c r="E32" s="370">
        <f t="shared" si="4"/>
        <v>0.62404299084225356</v>
      </c>
      <c r="F32" s="370">
        <f t="shared" si="4"/>
        <v>0.69716690435865258</v>
      </c>
      <c r="G32" s="370">
        <f t="shared" si="4"/>
        <v>0.77885930883868992</v>
      </c>
      <c r="H32" s="370">
        <f t="shared" si="4"/>
        <v>0.8701242402244177</v>
      </c>
      <c r="I32" s="370">
        <f t="shared" si="4"/>
        <v>0.97208338506605307</v>
      </c>
      <c r="J32" s="370">
        <f t="shared" si="4"/>
        <v>1.0859898665479784</v>
      </c>
      <c r="K32" s="370">
        <f t="shared" si="4"/>
        <v>1.2132436459293636</v>
      </c>
      <c r="L32" s="370">
        <f t="shared" si="4"/>
        <v>1.3554087286899605</v>
      </c>
      <c r="M32" s="370">
        <f t="shared" si="4"/>
        <v>1.5142323868522405</v>
      </c>
      <c r="N32" s="370">
        <f t="shared" si="4"/>
        <v>1.6916666337307593</v>
      </c>
      <c r="O32" s="370">
        <f t="shared" si="4"/>
        <v>1.8898922150429527</v>
      </c>
      <c r="P32" s="370">
        <f t="shared" si="4"/>
        <v>2.1113454112427799</v>
      </c>
      <c r="Q32" s="370">
        <f t="shared" si="4"/>
        <v>2.3587479804897913</v>
      </c>
      <c r="R32" s="370">
        <f t="shared" si="4"/>
        <v>2.6351406102660246</v>
      </c>
      <c r="S32" s="370">
        <f t="shared" si="4"/>
        <v>2.9439202887759501</v>
      </c>
      <c r="T32" s="370">
        <f t="shared" si="4"/>
        <v>3.2888820554405824</v>
      </c>
      <c r="U32" s="370">
        <f t="shared" si="4"/>
        <v>3.6742656436178693</v>
      </c>
      <c r="V32" s="370">
        <f t="shared" si="4"/>
        <v>4.1048075888091198</v>
      </c>
      <c r="W32" s="370">
        <f t="shared" si="4"/>
        <v>4.5857994427844657</v>
      </c>
    </row>
    <row r="33" spans="1:24" ht="14.5" x14ac:dyDescent="0.35">
      <c r="A33" s="10" t="s">
        <v>584</v>
      </c>
      <c r="B33" s="17" t="s">
        <v>396</v>
      </c>
      <c r="C33" s="372">
        <f>(C32*10^6)*24*365*$B26/10^9</f>
        <v>3.9420000000000002</v>
      </c>
      <c r="D33" s="372">
        <f t="shared" ref="D33:W33" si="5">(D32*10^6)*24*365*$B26/10^9</f>
        <v>4.4039144374854615</v>
      </c>
      <c r="E33" s="372">
        <f t="shared" si="5"/>
        <v>4.9199549398003271</v>
      </c>
      <c r="F33" s="372">
        <f t="shared" si="5"/>
        <v>5.4964638739636174</v>
      </c>
      <c r="G33" s="372">
        <f t="shared" si="5"/>
        <v>6.1405267908842323</v>
      </c>
      <c r="H33" s="372">
        <f t="shared" si="5"/>
        <v>6.8600595099293091</v>
      </c>
      <c r="I33" s="372">
        <f t="shared" si="5"/>
        <v>7.6639054078607636</v>
      </c>
      <c r="J33" s="372">
        <f t="shared" si="5"/>
        <v>8.5619441078642602</v>
      </c>
      <c r="K33" s="372">
        <f t="shared" si="5"/>
        <v>9.5652129045071028</v>
      </c>
      <c r="L33" s="372">
        <f t="shared" si="5"/>
        <v>10.686042416991649</v>
      </c>
      <c r="M33" s="372">
        <f t="shared" si="5"/>
        <v>11.938208137943064</v>
      </c>
      <c r="N33" s="372">
        <f t="shared" si="5"/>
        <v>13.337099740333306</v>
      </c>
      <c r="O33" s="372">
        <f t="shared" si="5"/>
        <v>14.89991022339864</v>
      </c>
      <c r="P33" s="372">
        <f t="shared" si="5"/>
        <v>16.645847222238078</v>
      </c>
      <c r="Q33" s="372">
        <f t="shared" si="5"/>
        <v>18.596369078181514</v>
      </c>
      <c r="R33" s="372">
        <f t="shared" si="5"/>
        <v>20.775448571337343</v>
      </c>
      <c r="S33" s="372">
        <f t="shared" si="5"/>
        <v>23.20986755670959</v>
      </c>
      <c r="T33" s="372">
        <f t="shared" si="5"/>
        <v>25.929546125093552</v>
      </c>
      <c r="U33" s="372">
        <f t="shared" si="5"/>
        <v>28.967910334283282</v>
      </c>
      <c r="V33" s="372">
        <f t="shared" si="5"/>
        <v>32.362303030171105</v>
      </c>
      <c r="W33" s="372">
        <f t="shared" si="5"/>
        <v>36.154442806912733</v>
      </c>
    </row>
    <row r="34" spans="1:24" ht="14.5" x14ac:dyDescent="0.35">
      <c r="A34" s="101" t="s">
        <v>580</v>
      </c>
      <c r="B34" s="90"/>
      <c r="C34" s="166">
        <f>C33*('Grid Emissions Intensity'!H32-$B$26)/10^6</f>
        <v>9.8878625439928697E-4</v>
      </c>
      <c r="D34" s="166">
        <f>C34+(D33-C33)*('Grid Emissions Intensity'!I32-$B$26)/10^6</f>
        <v>1.1022476194703537E-3</v>
      </c>
      <c r="E34" s="166">
        <f>D34+(E33-D33)*('Grid Emissions Intensity'!J32-$B$26)/10^6</f>
        <v>1.2254258723901259E-3</v>
      </c>
      <c r="F34" s="166">
        <f>E34+(F33-E33)*('Grid Emissions Intensity'!K32-$B$26)/10^6</f>
        <v>1.3561890723685784E-3</v>
      </c>
      <c r="G34" s="166">
        <f>F34+(G33-F33)*('Grid Emissions Intensity'!L32-$B$26)/10^6</f>
        <v>1.4955590466132545E-3</v>
      </c>
      <c r="H34" s="166">
        <f>G34+(H33-G33)*('Grid Emissions Intensity'!M32-$B$26)/10^6</f>
        <v>1.6436631767085671E-3</v>
      </c>
      <c r="I34" s="166">
        <f>H34+(I33-H33)*('Grid Emissions Intensity'!N32-$B$26)/10^6</f>
        <v>1.8018879806634617E-3</v>
      </c>
      <c r="J34" s="166">
        <f>I34+(J33-I33)*('Grid Emissions Intensity'!O32-$B$26)/10^6</f>
        <v>1.9719335843281318E-3</v>
      </c>
      <c r="K34" s="166">
        <f>J34+(K33-J33)*('Grid Emissions Intensity'!P32-$B$26)/10^6</f>
        <v>2.1583988842917624E-3</v>
      </c>
      <c r="L34" s="166">
        <f>K34+(L33-K33)*('Grid Emissions Intensity'!Q32-$B$26)/10^6</f>
        <v>2.3627319387063412E-3</v>
      </c>
      <c r="M34" s="166">
        <f>L34+(M33-L33)*('Grid Emissions Intensity'!R32-$B$26)/10^6</f>
        <v>2.5895740480075544E-3</v>
      </c>
      <c r="N34" s="166">
        <f>M34+(N33-M33)*('Grid Emissions Intensity'!S32-$B$26)/10^6</f>
        <v>2.843806676185244E-3</v>
      </c>
      <c r="O34" s="166">
        <f>N34+(O33-N33)*('Grid Emissions Intensity'!T32-$B$26)/10^6</f>
        <v>3.1286882194447663E-3</v>
      </c>
      <c r="P34" s="166">
        <f>O34+(P33-O33)*('Grid Emissions Intensity'!U32-$B$26)/10^6</f>
        <v>3.4478630425864121E-3</v>
      </c>
      <c r="Q34" s="166">
        <f>P34+(Q33-P33)*('Grid Emissions Intensity'!V32-$B$26)/10^6</f>
        <v>3.805407043938119E-3</v>
      </c>
      <c r="R34" s="166">
        <f>Q34+(R33-Q33)*('Grid Emissions Intensity'!W32-$B$26)/10^6</f>
        <v>4.2058785918102741E-3</v>
      </c>
      <c r="S34" s="166">
        <f>R34+(S33-R33)*('Grid Emissions Intensity'!X32-$B$26)/10^6</f>
        <v>4.6543510484064639E-3</v>
      </c>
      <c r="T34" s="166">
        <f>S34+(T33-S33)*('Grid Emissions Intensity'!Y32-$B$26)/10^6</f>
        <v>5.1519835012634723E-3</v>
      </c>
      <c r="U34" s="166">
        <f>T34+(U33-T33)*('Grid Emissions Intensity'!Z32-$B$26)/10^6</f>
        <v>5.7040688882205662E-3</v>
      </c>
      <c r="V34" s="166">
        <f>U34+(V33-U33)*('Grid Emissions Intensity'!AA32-$B$26)/10^6</f>
        <v>6.3164616304689138E-3</v>
      </c>
      <c r="W34" s="166">
        <f>V34+(W33-V33)*('Grid Emissions Intensity'!AB32-$B$26)/10^6</f>
        <v>7.0020155639514839E-3</v>
      </c>
    </row>
    <row r="35" spans="1:24" ht="14.5" x14ac:dyDescent="0.35">
      <c r="A35" s="115" t="s">
        <v>581</v>
      </c>
      <c r="B35" s="377">
        <f>SUM(C34:W34)</f>
        <v>6.4956921684223137E-2</v>
      </c>
      <c r="C35" s="41"/>
      <c r="D35" s="41"/>
      <c r="E35" s="41"/>
      <c r="F35" s="41"/>
      <c r="G35" s="41"/>
      <c r="H35" s="41"/>
      <c r="I35" s="41"/>
      <c r="J35" s="41"/>
      <c r="K35" s="41"/>
      <c r="L35" s="41"/>
      <c r="M35" s="41"/>
      <c r="N35" s="41"/>
      <c r="O35" s="41"/>
      <c r="P35" s="41"/>
      <c r="Q35" s="41"/>
      <c r="R35" s="41"/>
      <c r="S35" s="41"/>
      <c r="T35" s="41"/>
      <c r="U35" s="41"/>
      <c r="V35" s="41"/>
      <c r="W35" s="41"/>
    </row>
    <row r="36" spans="1:24" ht="19.5" x14ac:dyDescent="0.45">
      <c r="A36" s="114" t="s">
        <v>582</v>
      </c>
      <c r="B36" s="376">
        <f>SUM(C34:L34)</f>
        <v>1.6106823429939864E-2</v>
      </c>
      <c r="C36" s="167"/>
      <c r="D36" s="167"/>
      <c r="E36" s="168"/>
      <c r="F36" s="167"/>
      <c r="G36" s="167"/>
      <c r="H36" s="167"/>
      <c r="I36" s="167"/>
      <c r="J36" s="167"/>
      <c r="K36" s="167"/>
      <c r="L36" s="167"/>
      <c r="M36" s="167"/>
      <c r="N36" s="167"/>
      <c r="O36" s="167"/>
      <c r="P36" s="167"/>
      <c r="Q36" s="167"/>
      <c r="R36" s="167"/>
      <c r="S36" s="167"/>
      <c r="T36" s="167"/>
      <c r="U36" s="167"/>
      <c r="V36" s="167"/>
      <c r="W36" s="167"/>
    </row>
    <row r="37" spans="1:24" ht="19.5" x14ac:dyDescent="0.45">
      <c r="A37" s="44" t="s">
        <v>505</v>
      </c>
      <c r="B37" s="43"/>
      <c r="C37" s="167"/>
      <c r="D37" s="167"/>
      <c r="E37" s="168"/>
      <c r="F37" s="167"/>
      <c r="G37" s="167"/>
      <c r="H37" s="167"/>
      <c r="I37" s="167"/>
      <c r="J37" s="167"/>
      <c r="K37" s="167"/>
      <c r="L37" s="167"/>
      <c r="M37" s="167"/>
      <c r="N37" s="167"/>
      <c r="O37" s="167"/>
      <c r="P37" s="167"/>
      <c r="Q37" s="167"/>
      <c r="R37" s="167"/>
      <c r="S37" s="167"/>
      <c r="T37" s="167"/>
      <c r="U37" s="167"/>
      <c r="V37" s="167"/>
      <c r="W37" s="167"/>
    </row>
    <row r="38" spans="1:24" ht="14.5" x14ac:dyDescent="0.35">
      <c r="A38" s="55" t="s">
        <v>66</v>
      </c>
      <c r="B38" s="79">
        <v>0.42</v>
      </c>
      <c r="C38" s="169"/>
    </row>
    <row r="39" spans="1:24" ht="14.5" x14ac:dyDescent="0.35">
      <c r="A39" s="55" t="s">
        <v>69</v>
      </c>
      <c r="B39" s="53">
        <v>8</v>
      </c>
    </row>
    <row r="40" spans="1:24" ht="14.5" x14ac:dyDescent="0.35">
      <c r="A40" s="55" t="s">
        <v>72</v>
      </c>
      <c r="B40" s="82">
        <f>(B42/B41)^(1/20)-1</f>
        <v>0.17222387380424786</v>
      </c>
    </row>
    <row r="41" spans="1:24" ht="14.5" x14ac:dyDescent="0.35">
      <c r="A41" s="55" t="s">
        <v>76</v>
      </c>
      <c r="B41" s="47">
        <v>5</v>
      </c>
    </row>
    <row r="42" spans="1:24" ht="14.5" x14ac:dyDescent="0.35">
      <c r="A42" s="47" t="s">
        <v>78</v>
      </c>
      <c r="B42" s="47">
        <v>120</v>
      </c>
    </row>
    <row r="43" spans="1:24" ht="14.5" x14ac:dyDescent="0.35">
      <c r="A43" s="51"/>
      <c r="B43" s="52"/>
      <c r="C43" s="163">
        <v>2030</v>
      </c>
      <c r="D43" s="163">
        <v>2031</v>
      </c>
      <c r="E43" s="164">
        <v>2032</v>
      </c>
      <c r="F43" s="163">
        <v>2033</v>
      </c>
      <c r="G43" s="163">
        <v>2034</v>
      </c>
      <c r="H43" s="163">
        <v>2035</v>
      </c>
      <c r="I43" s="163">
        <v>2036</v>
      </c>
      <c r="J43" s="163">
        <v>2037</v>
      </c>
      <c r="K43" s="163">
        <v>2038</v>
      </c>
      <c r="L43" s="163">
        <v>2039</v>
      </c>
      <c r="M43" s="163">
        <v>2040</v>
      </c>
      <c r="N43" s="163">
        <v>2041</v>
      </c>
      <c r="O43" s="163">
        <v>2042</v>
      </c>
      <c r="P43" s="163">
        <v>2043</v>
      </c>
      <c r="Q43" s="163">
        <v>2044</v>
      </c>
      <c r="R43" s="163">
        <v>2045</v>
      </c>
      <c r="S43" s="163">
        <v>2046</v>
      </c>
      <c r="T43" s="163">
        <v>2047</v>
      </c>
      <c r="U43" s="163">
        <v>2048</v>
      </c>
      <c r="V43" s="163">
        <v>2049</v>
      </c>
      <c r="W43" s="163">
        <v>2050</v>
      </c>
    </row>
    <row r="44" spans="1:24" ht="14.5" x14ac:dyDescent="0.35">
      <c r="A44" s="10" t="s">
        <v>586</v>
      </c>
      <c r="B44" s="17"/>
      <c r="C44" s="370">
        <f>B41</f>
        <v>5</v>
      </c>
      <c r="D44" s="370">
        <f t="shared" ref="D44:V44" si="6">C44*(1+$B$40)</f>
        <v>5.8611193690212389</v>
      </c>
      <c r="E44" s="370">
        <f t="shared" si="6"/>
        <v>6.8705440515831855</v>
      </c>
      <c r="F44" s="370">
        <f t="shared" si="6"/>
        <v>8.0538157632895739</v>
      </c>
      <c r="G44" s="370">
        <f t="shared" si="6"/>
        <v>9.4408751129490192</v>
      </c>
      <c r="H44" s="370">
        <f t="shared" si="6"/>
        <v>11.066819197003216</v>
      </c>
      <c r="I44" s="370">
        <f t="shared" si="6"/>
        <v>12.972789669802326</v>
      </c>
      <c r="J44" s="370">
        <f t="shared" si="6"/>
        <v>15.207013760783413</v>
      </c>
      <c r="K44" s="370">
        <f t="shared" si="6"/>
        <v>17.826024579660036</v>
      </c>
      <c r="L44" s="370">
        <f t="shared" si="6"/>
        <v>20.896091587298827</v>
      </c>
      <c r="M44" s="370">
        <f t="shared" si="6"/>
        <v>24.494897427831784</v>
      </c>
      <c r="N44" s="370">
        <f t="shared" si="6"/>
        <v>28.713503551290682</v>
      </c>
      <c r="O44" s="370">
        <f t="shared" si="6"/>
        <v>33.658654363385992</v>
      </c>
      <c r="P44" s="370">
        <f t="shared" si="6"/>
        <v>39.455478204886575</v>
      </c>
      <c r="Q44" s="370">
        <f t="shared" si="6"/>
        <v>46.250653504131215</v>
      </c>
      <c r="R44" s="370">
        <f t="shared" si="6"/>
        <v>54.216120216590703</v>
      </c>
      <c r="S44" s="370">
        <f t="shared" si="6"/>
        <v>63.553430462928752</v>
      </c>
      <c r="T44" s="370">
        <f t="shared" si="6"/>
        <v>74.498848450803237</v>
      </c>
      <c r="U44" s="370">
        <f t="shared" si="6"/>
        <v>87.329328724956156</v>
      </c>
      <c r="V44" s="370">
        <f t="shared" si="6"/>
        <v>102.36952401469269</v>
      </c>
      <c r="W44" s="370">
        <f>B42</f>
        <v>120</v>
      </c>
      <c r="X44" s="16" t="s">
        <v>396</v>
      </c>
    </row>
    <row r="45" spans="1:24" ht="14.5" x14ac:dyDescent="0.35">
      <c r="A45" s="10" t="s">
        <v>584</v>
      </c>
      <c r="B45" s="17" t="s">
        <v>396</v>
      </c>
      <c r="C45" s="372">
        <f>(C44*10^6)*24*365*$B38/10^9</f>
        <v>18.396000000000001</v>
      </c>
      <c r="D45" s="372">
        <f>(D44*10^6)*24*365*$B38/10^9</f>
        <v>21.564230382502945</v>
      </c>
      <c r="E45" s="372">
        <f t="shared" ref="E45:V45" si="7">(E44*10^6)*24*365*$B38/10^9</f>
        <v>25.278105674584854</v>
      </c>
      <c r="F45" s="372">
        <f t="shared" si="7"/>
        <v>29.631598956294994</v>
      </c>
      <c r="G45" s="372">
        <f t="shared" si="7"/>
        <v>34.734867715562032</v>
      </c>
      <c r="H45" s="372">
        <f t="shared" si="7"/>
        <v>40.717041189614228</v>
      </c>
      <c r="I45" s="372">
        <f t="shared" si="7"/>
        <v>47.729487753136723</v>
      </c>
      <c r="J45" s="372">
        <f t="shared" si="7"/>
        <v>55.949645028674333</v>
      </c>
      <c r="K45" s="372">
        <f t="shared" si="7"/>
        <v>65.585509633485202</v>
      </c>
      <c r="L45" s="372">
        <f t="shared" si="7"/>
        <v>76.880900167989836</v>
      </c>
      <c r="M45" s="372">
        <f t="shared" si="7"/>
        <v>90.121626616478693</v>
      </c>
      <c r="N45" s="372">
        <f t="shared" si="7"/>
        <v>105.64272226590867</v>
      </c>
      <c r="O45" s="372">
        <f t="shared" si="7"/>
        <v>123.83692113376975</v>
      </c>
      <c r="P45" s="372">
        <f t="shared" si="7"/>
        <v>145.16459541141867</v>
      </c>
      <c r="Q45" s="372">
        <f t="shared" si="7"/>
        <v>170.16540437239956</v>
      </c>
      <c r="R45" s="372">
        <f t="shared" si="7"/>
        <v>199.4719495008805</v>
      </c>
      <c r="S45" s="372">
        <f t="shared" si="7"/>
        <v>233.82578135920747</v>
      </c>
      <c r="T45" s="372">
        <f t="shared" si="7"/>
        <v>274.09616322019531</v>
      </c>
      <c r="U45" s="372">
        <f t="shared" si="7"/>
        <v>321.30206624485868</v>
      </c>
      <c r="V45" s="372">
        <f t="shared" si="7"/>
        <v>376.63795275485728</v>
      </c>
      <c r="W45" s="372">
        <f>(W44*10^6)*24*365*$B38/10^9</f>
        <v>441.50400000000002</v>
      </c>
    </row>
    <row r="46" spans="1:24" ht="14.5" x14ac:dyDescent="0.35">
      <c r="A46" s="101" t="s">
        <v>580</v>
      </c>
      <c r="B46" s="108"/>
      <c r="C46" s="170">
        <f>IF(('Grid Emissions Intensity'!H$37-$B$39)&lt;0,0,C45*('Grid Emissions Intensity'!H$37-$B$39)/10^6)</f>
        <v>4.5738020093408667E-3</v>
      </c>
      <c r="D46" s="170">
        <f>IF(D45*('Grid Emissions Intensity'!I$37-$B$39)/10^6&lt;0,C46,C46+(D45-C45)*('Grid Emissions Intensity'!I$37-$B$39)/10^6)</f>
        <v>5.344852831670209E-3</v>
      </c>
      <c r="E46" s="170">
        <f>IF(E45*('Grid Emissions Intensity'!J$37-$B$39)/10^6&lt;0,D46,D46+(E45-D45)*('Grid Emissions Intensity'!J$37-$B$39)/10^6)</f>
        <v>6.2225956676685776E-3</v>
      </c>
      <c r="F46" s="170">
        <f>IF(F45*('Grid Emissions Intensity'!K$37-$B$39)/10^6&lt;0,E46,E46+(F45-E45)*('Grid Emissions Intensity'!K$37-$B$39)/10^6)</f>
        <v>7.1989435701323729E-3</v>
      </c>
      <c r="G46" s="170">
        <f>IF(G45*('Grid Emissions Intensity'!L$37-$B$39)/10^6&lt;0,F46,F46+(G45-F45)*('Grid Emissions Intensity'!L$37-$B$39)/10^6)</f>
        <v>8.2893698701121087E-3</v>
      </c>
      <c r="H46" s="170">
        <f>IF(H45*('Grid Emissions Intensity'!M$37-$B$39)/10^6&lt;0,G46,G46+(H45-G45)*('Grid Emissions Intensity'!M$37-$B$39)/10^6)</f>
        <v>9.5033886154392028E-3</v>
      </c>
      <c r="I46" s="170">
        <f>IF(I45*('Grid Emissions Intensity'!N$37-$B$39)/10^6&lt;0,H46,H46+(I45-H45)*('Grid Emissions Intensity'!N$37-$B$39)/10^6)</f>
        <v>1.0862006607604687E-2</v>
      </c>
      <c r="J46" s="170">
        <f>IF(J45*('Grid Emissions Intensity'!O$37-$B$39)/10^6&lt;0,I46,I46+(J45-I45)*('Grid Emissions Intensity'!O$37-$B$39)/10^6)</f>
        <v>1.2391775366776667E-2</v>
      </c>
      <c r="K46" s="170">
        <f>IF(K45*('Grid Emissions Intensity'!P$37-$B$39)/10^6&lt;0,J46,J46+(K45-J45)*('Grid Emissions Intensity'!P$37-$B$39)/10^6)</f>
        <v>1.4150586066985183E-2</v>
      </c>
      <c r="L46" s="170">
        <f>IF(L45*('Grid Emissions Intensity'!Q$37-$B$39)/10^6&lt;0,K46,K46+(L45-K45)*('Grid Emissions Intensity'!Q$37-$B$39)/10^6)</f>
        <v>1.6171314583833925E-2</v>
      </c>
      <c r="M46" s="170">
        <f>IF(M45*('Grid Emissions Intensity'!R$37-$B$39)/10^6&lt;0,L46,L46+(M45-L45)*('Grid Emissions Intensity'!R$37-$B$39)/10^6)</f>
        <v>1.8524550464196536E-2</v>
      </c>
      <c r="N46" s="170">
        <f>IF(N45*('Grid Emissions Intensity'!S$37-$B$39)/10^6&lt;0,M46,M46+(N45-M45)*('Grid Emissions Intensity'!S$37-$B$39)/10^6)</f>
        <v>2.1292186307263559E-2</v>
      </c>
      <c r="O46" s="170">
        <f>IF(O45*('Grid Emissions Intensity'!T$37-$B$39)/10^6&lt;0,N46,N46+(O45-N45)*('Grid Emissions Intensity'!T$37-$B$39)/10^6)</f>
        <v>2.4546665299053701E-2</v>
      </c>
      <c r="P46" s="170">
        <f>IF(P45*('Grid Emissions Intensity'!U$37-$B$39)/10^6&lt;0,O46,O46+(P45-O45)*('Grid Emissions Intensity'!U$37-$B$39)/10^6)</f>
        <v>2.8373046105072144E-2</v>
      </c>
      <c r="Q46" s="170">
        <f>IF(Q45*('Grid Emissions Intensity'!V$37-$B$39)/10^6&lt;0,P46,P46+(Q45-P45)*('Grid Emissions Intensity'!V$37-$B$39)/10^6)</f>
        <v>3.2871194302921611E-2</v>
      </c>
      <c r="R46" s="170">
        <f>IF(R45*('Grid Emissions Intensity'!W$37-$B$39)/10^6&lt;0,Q46,Q46+(R45-Q45)*('Grid Emissions Intensity'!W$37-$B$39)/10^6)</f>
        <v>3.8158353844746515E-2</v>
      </c>
      <c r="S46" s="170">
        <f>IF(S45*('Grid Emissions Intensity'!X$37-$B$39)/10^6&lt;0,R46,R46+(S45-R45)*('Grid Emissions Intensity'!X$37-$B$39)/10^6)</f>
        <v>4.4371137290003693E-2</v>
      </c>
      <c r="T46" s="170">
        <f>IF(T45*('Grid Emissions Intensity'!Y$37-$B$39)/10^6&lt;0,S46,S46+(T45-S45)*('Grid Emissions Intensity'!Y$37-$B$39)/10^6)</f>
        <v>5.1602329664412611E-2</v>
      </c>
      <c r="U46" s="170">
        <f>IF(U45*('Grid Emissions Intensity'!Z$37-$B$39)/10^6&lt;0,T46,T46+(U45-T45)*('Grid Emissions Intensity'!Z$37-$B$39)/10^6)</f>
        <v>6.0017472433512409E-2</v>
      </c>
      <c r="V46" s="170">
        <f>IF(V45*('Grid Emissions Intensity'!AA$37-$B$39)/10^6&lt;0,U46,U46+(V45-U45)*('Grid Emissions Intensity'!AA$37-$B$39)/10^6)</f>
        <v>6.9808805335883545E-2</v>
      </c>
      <c r="W46" s="170">
        <f>IF(W45*('Grid Emissions Intensity'!AB$37-$B$39)/10^6&lt;0,V46,V46+(W45-V45)*('Grid Emissions Intensity'!AB$37-$B$39)/10^6)</f>
        <v>8.1310843130937449E-2</v>
      </c>
    </row>
    <row r="47" spans="1:24" ht="14.5" x14ac:dyDescent="0.35">
      <c r="A47" s="45" t="s">
        <v>581</v>
      </c>
      <c r="B47" s="377">
        <f>SUM(C46:W46)</f>
        <v>0.56558521936756767</v>
      </c>
      <c r="C47" s="41"/>
      <c r="D47" s="41"/>
      <c r="E47" s="41"/>
      <c r="F47" s="41"/>
      <c r="G47" s="41"/>
      <c r="H47" s="41"/>
      <c r="I47" s="41"/>
      <c r="J47" s="41"/>
      <c r="K47" s="41"/>
      <c r="L47" s="41"/>
      <c r="M47" s="41"/>
      <c r="N47" s="41"/>
      <c r="O47" s="41"/>
      <c r="P47" s="41"/>
      <c r="Q47" s="41"/>
      <c r="R47" s="41"/>
      <c r="S47" s="41"/>
      <c r="T47" s="41"/>
      <c r="U47" s="41"/>
      <c r="V47" s="41"/>
      <c r="W47" s="41"/>
    </row>
    <row r="48" spans="1:24" ht="14.5" x14ac:dyDescent="0.35">
      <c r="A48" s="18" t="s">
        <v>582</v>
      </c>
      <c r="B48" s="378">
        <f>SUM(C46:L46)</f>
        <v>9.4708635189563795E-2</v>
      </c>
      <c r="C48" s="41"/>
      <c r="D48" s="41"/>
      <c r="E48" s="41"/>
      <c r="F48" s="41"/>
      <c r="G48" s="41"/>
      <c r="H48" s="41"/>
      <c r="I48" s="41"/>
      <c r="J48" s="41"/>
      <c r="K48" s="41"/>
      <c r="L48" s="41"/>
      <c r="M48" s="41"/>
      <c r="N48" s="41"/>
      <c r="O48" s="41"/>
      <c r="P48" s="41"/>
      <c r="Q48" s="41"/>
      <c r="R48" s="41"/>
      <c r="S48" s="41"/>
      <c r="T48" s="41"/>
      <c r="U48" s="41"/>
      <c r="V48" s="41"/>
      <c r="W48" s="41"/>
    </row>
    <row r="49" spans="1:23" ht="19.5" x14ac:dyDescent="0.45">
      <c r="A49" s="44" t="s">
        <v>377</v>
      </c>
      <c r="B49" s="78">
        <v>3.4495541579651963E-2</v>
      </c>
      <c r="C49" s="167"/>
      <c r="D49" s="167"/>
      <c r="E49" s="168"/>
      <c r="F49" s="167"/>
      <c r="G49" s="167"/>
      <c r="H49" s="167"/>
      <c r="I49" s="167"/>
      <c r="J49" s="167"/>
      <c r="K49" s="167"/>
      <c r="L49" s="167"/>
      <c r="M49" s="167"/>
      <c r="N49" s="167"/>
      <c r="O49" s="167"/>
      <c r="P49" s="167"/>
      <c r="Q49" s="167"/>
      <c r="R49" s="167"/>
      <c r="S49" s="167"/>
      <c r="T49" s="167"/>
      <c r="U49" s="167"/>
      <c r="V49" s="167"/>
      <c r="W49" s="167"/>
    </row>
    <row r="50" spans="1:23" ht="14.5" x14ac:dyDescent="0.35">
      <c r="A50" s="47" t="s">
        <v>66</v>
      </c>
      <c r="B50" s="79">
        <v>0.42</v>
      </c>
      <c r="C50" s="171" t="s">
        <v>396</v>
      </c>
    </row>
    <row r="51" spans="1:23" ht="14.5" x14ac:dyDescent="0.35">
      <c r="A51" s="55" t="s">
        <v>69</v>
      </c>
      <c r="B51" s="53">
        <v>8</v>
      </c>
    </row>
    <row r="52" spans="1:23" ht="14.5" x14ac:dyDescent="0.35">
      <c r="A52" s="47" t="s">
        <v>72</v>
      </c>
      <c r="B52" s="92">
        <f>'Other Ocean Industry Growth'!F7</f>
        <v>0.11717768581569299</v>
      </c>
    </row>
    <row r="53" spans="1:23" ht="14.5" x14ac:dyDescent="0.35">
      <c r="A53" s="55" t="s">
        <v>587</v>
      </c>
      <c r="B53" s="123">
        <f>1</f>
        <v>1</v>
      </c>
    </row>
    <row r="54" spans="1:23" ht="14.5" x14ac:dyDescent="0.35">
      <c r="A54" s="55" t="s">
        <v>76</v>
      </c>
      <c r="B54" s="122">
        <f>B53*(1+B52)^5</f>
        <v>1.7402484804488354</v>
      </c>
    </row>
    <row r="55" spans="1:23" ht="14.5" x14ac:dyDescent="0.35">
      <c r="A55" s="55" t="s">
        <v>78</v>
      </c>
      <c r="B55" s="122">
        <f>B54*(1+B52)^20</f>
        <v>15.960861023897564</v>
      </c>
    </row>
    <row r="56" spans="1:23" ht="14.5" x14ac:dyDescent="0.35">
      <c r="A56" s="51"/>
      <c r="B56" s="52"/>
      <c r="C56" s="163">
        <v>2030</v>
      </c>
      <c r="D56" s="163">
        <v>2031</v>
      </c>
      <c r="E56" s="164">
        <v>2032</v>
      </c>
      <c r="F56" s="163">
        <v>2033</v>
      </c>
      <c r="G56" s="163">
        <v>2034</v>
      </c>
      <c r="H56" s="163">
        <v>2035</v>
      </c>
      <c r="I56" s="163">
        <v>2036</v>
      </c>
      <c r="J56" s="163">
        <v>2037</v>
      </c>
      <c r="K56" s="163">
        <v>2038</v>
      </c>
      <c r="L56" s="163">
        <v>2039</v>
      </c>
      <c r="M56" s="163">
        <v>2040</v>
      </c>
      <c r="N56" s="163">
        <v>2041</v>
      </c>
      <c r="O56" s="163">
        <v>2042</v>
      </c>
      <c r="P56" s="163">
        <v>2043</v>
      </c>
      <c r="Q56" s="163">
        <v>2044</v>
      </c>
      <c r="R56" s="163">
        <v>2045</v>
      </c>
      <c r="S56" s="163">
        <v>2046</v>
      </c>
      <c r="T56" s="163">
        <v>2047</v>
      </c>
      <c r="U56" s="163">
        <v>2048</v>
      </c>
      <c r="V56" s="163">
        <v>2049</v>
      </c>
      <c r="W56" s="165">
        <v>2050</v>
      </c>
    </row>
    <row r="57" spans="1:23" ht="14.5" x14ac:dyDescent="0.35">
      <c r="A57" s="10" t="s">
        <v>586</v>
      </c>
      <c r="B57" s="17"/>
      <c r="C57" s="372">
        <f>B54</f>
        <v>1.7402484804488354</v>
      </c>
      <c r="D57" s="373">
        <f>C57*(1+$B$52)</f>
        <v>1.9441667701321061</v>
      </c>
      <c r="E57" s="373">
        <f t="shared" ref="E57:W57" si="8">D57*(1+$B$52)</f>
        <v>2.1719797330959567</v>
      </c>
      <c r="F57" s="373">
        <f t="shared" si="8"/>
        <v>2.4264872918587272</v>
      </c>
      <c r="G57" s="373">
        <f t="shared" si="8"/>
        <v>2.7108174573799211</v>
      </c>
      <c r="H57" s="373">
        <f t="shared" si="8"/>
        <v>3.028464773704481</v>
      </c>
      <c r="I57" s="373">
        <f t="shared" si="8"/>
        <v>3.3833332674615182</v>
      </c>
      <c r="J57" s="373">
        <f t="shared" si="8"/>
        <v>3.7797844300859058</v>
      </c>
      <c r="K57" s="373">
        <f t="shared" si="8"/>
        <v>4.2226908224855606</v>
      </c>
      <c r="L57" s="373">
        <f t="shared" si="8"/>
        <v>4.7174959609795835</v>
      </c>
      <c r="M57" s="373">
        <f t="shared" si="8"/>
        <v>5.2702812205320502</v>
      </c>
      <c r="N57" s="373">
        <f t="shared" si="8"/>
        <v>5.887840577551902</v>
      </c>
      <c r="O57" s="373">
        <f t="shared" si="8"/>
        <v>6.5777641108811675</v>
      </c>
      <c r="P57" s="373">
        <f t="shared" si="8"/>
        <v>7.3485312872357422</v>
      </c>
      <c r="Q57" s="373">
        <f t="shared" si="8"/>
        <v>8.2096151776182413</v>
      </c>
      <c r="R57" s="373">
        <f t="shared" si="8"/>
        <v>9.1715988855689368</v>
      </c>
      <c r="S57" s="373">
        <f t="shared" si="8"/>
        <v>10.246305618209693</v>
      </c>
      <c r="T57" s="373">
        <f t="shared" si="8"/>
        <v>11.446943998711838</v>
      </c>
      <c r="U57" s="373">
        <f t="shared" si="8"/>
        <v>12.788270406142725</v>
      </c>
      <c r="V57" s="373">
        <f t="shared" si="8"/>
        <v>14.286770337919842</v>
      </c>
      <c r="W57" s="373">
        <f t="shared" si="8"/>
        <v>15.960861023897575</v>
      </c>
    </row>
    <row r="58" spans="1:23" ht="14.5" x14ac:dyDescent="0.35">
      <c r="A58" s="10" t="s">
        <v>584</v>
      </c>
      <c r="B58" s="17" t="s">
        <v>396</v>
      </c>
      <c r="C58" s="372">
        <f>(C57*10^6)*24*365*$B$50/10^9</f>
        <v>6.4027222092673544</v>
      </c>
      <c r="D58" s="372">
        <f t="shared" ref="D58:W58" si="9">(D57*10^6)*24*365*$B$50/10^9</f>
        <v>7.1529783806700458</v>
      </c>
      <c r="E58" s="372">
        <f t="shared" si="9"/>
        <v>7.9911478340066422</v>
      </c>
      <c r="F58" s="372">
        <f t="shared" si="9"/>
        <v>8.9275320442066288</v>
      </c>
      <c r="G58" s="372">
        <f t="shared" si="9"/>
        <v>9.9736395891922047</v>
      </c>
      <c r="H58" s="372">
        <f t="shared" si="9"/>
        <v>11.142327595413526</v>
      </c>
      <c r="I58" s="372">
        <f t="shared" si="9"/>
        <v>12.447959757644419</v>
      </c>
      <c r="J58" s="372">
        <f t="shared" si="9"/>
        <v>13.906582875172063</v>
      </c>
      <c r="K58" s="372">
        <f t="shared" si="9"/>
        <v>15.536124074088875</v>
      </c>
      <c r="L58" s="372">
        <f t="shared" si="9"/>
        <v>17.356611139636083</v>
      </c>
      <c r="M58" s="372">
        <f t="shared" si="9"/>
        <v>19.390418666581521</v>
      </c>
      <c r="N58" s="372">
        <f t="shared" si="9"/>
        <v>21.66254305292896</v>
      </c>
      <c r="O58" s="372">
        <f t="shared" si="9"/>
        <v>24.200909716753991</v>
      </c>
      <c r="P58" s="372">
        <f t="shared" si="9"/>
        <v>27.036716311997736</v>
      </c>
      <c r="Q58" s="372">
        <f t="shared" si="9"/>
        <v>30.204816161493032</v>
      </c>
      <c r="R58" s="372">
        <f t="shared" si="9"/>
        <v>33.744146619785234</v>
      </c>
      <c r="S58" s="372">
        <f t="shared" si="9"/>
        <v>37.698207630517103</v>
      </c>
      <c r="T58" s="372">
        <f t="shared" si="9"/>
        <v>42.115596360060593</v>
      </c>
      <c r="U58" s="372">
        <f t="shared" si="9"/>
        <v>47.050604478280306</v>
      </c>
      <c r="V58" s="372">
        <f t="shared" si="9"/>
        <v>52.563885427274684</v>
      </c>
      <c r="W58" s="372">
        <f t="shared" si="9"/>
        <v>58.72319987912396</v>
      </c>
    </row>
    <row r="59" spans="1:23" ht="14.5" x14ac:dyDescent="0.35">
      <c r="A59" s="101" t="s">
        <v>580</v>
      </c>
      <c r="B59" s="108"/>
      <c r="C59" s="170">
        <f>IF(('Grid Emissions Intensity'!H$37-$B$51)&lt;0,0,C58*('Grid Emissions Intensity'!H$37-$B$51)/10^6)</f>
        <v>1.5919103993258543E-3</v>
      </c>
      <c r="D59" s="170">
        <f>IF(('Grid Emissions Intensity'!I$37-$B$51)&lt;0,C59,C59+(D58-C58)*('Grid Emissions Intensity'!I$37-$B$51)/10^6)</f>
        <v>1.7744999108438575E-3</v>
      </c>
      <c r="E59" s="170">
        <f>IF(('Grid Emissions Intensity'!J$37-$B$51)&lt;0,D59,D59+(E58-D58)*('Grid Emissions Intensity'!J$37-$B$51)/10^6)</f>
        <v>1.9725941318822953E-3</v>
      </c>
      <c r="F59" s="170">
        <f>IF(('Grid Emissions Intensity'!K$37-$B$51)&lt;0,E59,E59+(F58-E58)*('Grid Emissions Intensity'!K$37-$B$51)/10^6)</f>
        <v>2.1825948601181372E-3</v>
      </c>
      <c r="G59" s="170">
        <f>IF(('Grid Emissions Intensity'!L$37-$B$51)&lt;0,F59,F59+(G58-F58)*('Grid Emissions Intensity'!L$37-$B$51)/10^6)</f>
        <v>2.4061188862804085E-3</v>
      </c>
      <c r="H59" s="170">
        <f>IF(('Grid Emissions Intensity'!M$37-$B$51)&lt;0,G59,G59+(H58-G58)*('Grid Emissions Intensity'!M$37-$B$51)/10^6)</f>
        <v>2.6432917387805488E-3</v>
      </c>
      <c r="I59" s="170">
        <f>IF(('Grid Emissions Intensity'!N$37-$B$51)&lt;0,H59,H59+(I58-H58)*('Grid Emissions Intensity'!N$37-$B$51)/10^6)</f>
        <v>2.8962498655467615E-3</v>
      </c>
      <c r="J59" s="170">
        <f>IF(('Grid Emissions Intensity'!O$37-$B$51)&lt;0,I59,I59+(J58-I58)*('Grid Emissions Intensity'!O$37-$B$51)/10^6)</f>
        <v>3.1676991823670281E-3</v>
      </c>
      <c r="K59" s="170">
        <f>IF(('Grid Emissions Intensity'!P$37-$B$51)&lt;0,J59,J59+(K58-J58)*('Grid Emissions Intensity'!P$37-$B$51)/10^6)</f>
        <v>3.4651353351804015E-3</v>
      </c>
      <c r="L59" s="170">
        <f>IF(('Grid Emissions Intensity'!Q$37-$B$51)&lt;0,K59,K59+(L58-K58)*('Grid Emissions Intensity'!Q$37-$B$51)/10^6)</f>
        <v>3.7908177555153137E-3</v>
      </c>
      <c r="M59" s="170">
        <f>IF(('Grid Emissions Intensity'!R$37-$B$51)&lt;0,L59,L59+(M58-L58)*('Grid Emissions Intensity'!R$37-$B$51)/10^6)</f>
        <v>4.1522804641347319E-3</v>
      </c>
      <c r="N59" s="170">
        <f>IF(('Grid Emissions Intensity'!S$37-$B$51)&lt;0,M59,M59+(N58-M58)*('Grid Emissions Intensity'!S$37-$B$51)/10^6)</f>
        <v>4.5574331050046938E-3</v>
      </c>
      <c r="O59" s="170">
        <f>IF(('Grid Emissions Intensity'!T$37-$B$51)&lt;0,N59,N59+(O58-N58)*('Grid Emissions Intensity'!T$37-$B$51)/10^6)</f>
        <v>5.0114822797376161E-3</v>
      </c>
      <c r="P59" s="170">
        <f>IF(('Grid Emissions Intensity'!U$37-$B$51)&lt;0,O59,O59+(P58-O58)*('Grid Emissions Intensity'!U$37-$B$51)/10^6)</f>
        <v>5.520252049209984E-3</v>
      </c>
      <c r="Q59" s="170">
        <f>IF(('Grid Emissions Intensity'!V$37-$B$51)&lt;0,P59,P59+(Q58-P58)*('Grid Emissions Intensity'!V$37-$B$51)/10^6)</f>
        <v>6.0902569098869128E-3</v>
      </c>
      <c r="R59" s="170">
        <f>IF(('Grid Emissions Intensity'!W$37-$B$51)&lt;0,Q59,Q59+(R58-Q58)*('Grid Emissions Intensity'!W$37-$B$51)/10^6)</f>
        <v>6.7287833797315382E-3</v>
      </c>
      <c r="S59" s="170">
        <f>IF(('Grid Emissions Intensity'!X$37-$B$51)&lt;0,R59,R59+(S58-R58)*('Grid Emissions Intensity'!X$37-$B$51)/10^6)</f>
        <v>7.4438629926934724E-3</v>
      </c>
      <c r="T59" s="170">
        <f>IF(('Grid Emissions Intensity'!Y$37-$B$51)&lt;0,S59,S59+(T58-S58)*('Grid Emissions Intensity'!Y$37-$B$51)/10^6)</f>
        <v>8.2370759253679385E-3</v>
      </c>
      <c r="U59" s="170">
        <f>IF(('Grid Emissions Intensity'!Z$37-$B$51)&lt;0,T59,T59+(U58-T58)*('Grid Emissions Intensity'!Z$37-$B$51)/10^6)</f>
        <v>9.1168133145624244E-3</v>
      </c>
      <c r="V59" s="170">
        <f>IF(('Grid Emissions Intensity'!AA$37-$B$51)&lt;0,U59,U59+(V58-U58)*('Grid Emissions Intensity'!AA$37-$B$51)/10^6)</f>
        <v>1.0092353286189166E-2</v>
      </c>
      <c r="W59" s="170">
        <f>IF(('Grid Emissions Intensity'!AB$37-$B$51)&lt;0,V59,V59+(W58-V58)*('Grid Emissions Intensity'!AB$37-$B$51)/10^6)</f>
        <v>1.1184522003500626E-2</v>
      </c>
    </row>
    <row r="60" spans="1:23" ht="14.5" x14ac:dyDescent="0.35">
      <c r="A60" s="45" t="s">
        <v>581</v>
      </c>
      <c r="B60" s="377">
        <f>SUM(C59:W59)</f>
        <v>0.1040260277758597</v>
      </c>
      <c r="C60" s="41"/>
      <c r="D60" s="41"/>
      <c r="E60" s="41"/>
      <c r="F60" s="41"/>
      <c r="G60" s="41"/>
      <c r="H60" s="41"/>
      <c r="I60" s="41"/>
      <c r="J60" s="41"/>
      <c r="K60" s="41"/>
      <c r="L60" s="41"/>
      <c r="M60" s="41"/>
      <c r="N60" s="41"/>
      <c r="O60" s="41"/>
      <c r="P60" s="41"/>
      <c r="Q60" s="41"/>
      <c r="R60" s="41"/>
      <c r="S60" s="41"/>
      <c r="T60" s="41"/>
      <c r="U60" s="41"/>
      <c r="V60" s="41"/>
      <c r="W60" s="41"/>
    </row>
    <row r="61" spans="1:23" ht="14.5" x14ac:dyDescent="0.35">
      <c r="A61" s="18" t="s">
        <v>582</v>
      </c>
      <c r="B61" s="378">
        <f>SUM(C59:L59)</f>
        <v>2.5890912065840606E-2</v>
      </c>
      <c r="C61" s="41"/>
      <c r="D61" s="41"/>
      <c r="E61" s="41"/>
      <c r="F61" s="41"/>
      <c r="G61" s="41"/>
      <c r="H61" s="41"/>
      <c r="I61" s="41"/>
      <c r="J61" s="41"/>
      <c r="K61" s="41"/>
      <c r="L61" s="41"/>
      <c r="M61" s="41"/>
      <c r="N61" s="41"/>
      <c r="O61" s="41"/>
      <c r="P61" s="41"/>
      <c r="Q61" s="41"/>
      <c r="R61" s="41"/>
      <c r="S61" s="41"/>
      <c r="T61" s="41"/>
      <c r="U61" s="41"/>
      <c r="V61" s="41"/>
      <c r="W61" s="41"/>
    </row>
    <row r="62" spans="1:23" ht="19.5" x14ac:dyDescent="0.45">
      <c r="A62" s="44" t="s">
        <v>375</v>
      </c>
      <c r="B62" s="78">
        <v>0.19806841955671806</v>
      </c>
      <c r="C62" s="41"/>
      <c r="D62" s="41"/>
      <c r="E62" s="41"/>
      <c r="F62" s="41"/>
      <c r="G62" s="41"/>
      <c r="H62" s="41"/>
      <c r="I62" s="41"/>
      <c r="J62" s="41"/>
      <c r="K62" s="41"/>
      <c r="L62" s="41"/>
      <c r="M62" s="41"/>
      <c r="N62" s="41"/>
      <c r="O62" s="41"/>
      <c r="P62" s="41"/>
      <c r="Q62" s="41"/>
      <c r="R62" s="41"/>
      <c r="S62" s="41"/>
      <c r="T62" s="41"/>
      <c r="U62" s="41"/>
      <c r="V62" s="41"/>
      <c r="W62" s="41"/>
    </row>
    <row r="63" spans="1:23" ht="14.5" x14ac:dyDescent="0.35">
      <c r="A63" s="47" t="s">
        <v>66</v>
      </c>
      <c r="B63" s="79">
        <v>0.35</v>
      </c>
      <c r="C63" s="41"/>
      <c r="D63" s="41"/>
      <c r="E63" s="41"/>
      <c r="F63" s="41"/>
      <c r="G63" s="41"/>
      <c r="H63" s="41"/>
      <c r="I63" s="41"/>
      <c r="J63" s="41"/>
      <c r="K63" s="41"/>
      <c r="L63" s="41"/>
      <c r="M63" s="41"/>
      <c r="N63" s="41"/>
      <c r="O63" s="41"/>
      <c r="P63" s="41"/>
      <c r="Q63" s="41"/>
      <c r="R63" s="41"/>
      <c r="S63" s="41"/>
      <c r="T63" s="41"/>
      <c r="U63" s="41"/>
      <c r="V63" s="41"/>
      <c r="W63" s="41"/>
    </row>
    <row r="64" spans="1:23" ht="14.5" x14ac:dyDescent="0.35">
      <c r="A64" s="55" t="s">
        <v>69</v>
      </c>
      <c r="B64" s="53">
        <v>8</v>
      </c>
      <c r="C64" s="41"/>
      <c r="D64" s="41"/>
      <c r="E64" s="41"/>
      <c r="F64" s="41"/>
      <c r="G64" s="41"/>
      <c r="H64" s="41"/>
      <c r="I64" s="41"/>
      <c r="J64" s="41"/>
      <c r="K64" s="41"/>
      <c r="L64" s="41"/>
      <c r="M64" s="41"/>
      <c r="N64" s="41"/>
      <c r="O64" s="41"/>
      <c r="P64" s="41"/>
      <c r="Q64" s="41"/>
      <c r="R64" s="41"/>
      <c r="S64" s="41"/>
      <c r="T64" s="41"/>
      <c r="U64" s="41"/>
      <c r="V64" s="41"/>
      <c r="W64" s="41"/>
    </row>
    <row r="65" spans="1:23" ht="14.5" x14ac:dyDescent="0.35">
      <c r="A65" s="47" t="s">
        <v>72</v>
      </c>
      <c r="B65" s="124">
        <f>(B67/B66)^(1/20)-1</f>
        <v>0.19623119885131546</v>
      </c>
      <c r="C65" s="41"/>
      <c r="D65" s="41"/>
      <c r="E65" s="41"/>
      <c r="F65" s="41"/>
      <c r="G65" s="41"/>
      <c r="H65" s="41"/>
      <c r="I65" s="41"/>
      <c r="J65" s="41"/>
      <c r="K65" s="41"/>
      <c r="L65" s="41"/>
      <c r="M65" s="41"/>
      <c r="N65" s="41"/>
      <c r="O65" s="41"/>
      <c r="P65" s="41"/>
      <c r="Q65" s="41"/>
      <c r="R65" s="41"/>
      <c r="S65" s="41"/>
      <c r="T65" s="41"/>
      <c r="U65" s="41"/>
      <c r="V65" s="41"/>
      <c r="W65" s="41"/>
    </row>
    <row r="66" spans="1:23" ht="14.5" x14ac:dyDescent="0.35">
      <c r="A66" s="47" t="s">
        <v>76</v>
      </c>
      <c r="B66" s="47">
        <v>5</v>
      </c>
      <c r="C66" s="41"/>
      <c r="D66" s="41"/>
      <c r="E66" s="41"/>
      <c r="F66" s="41"/>
      <c r="G66" s="41"/>
      <c r="H66" s="41"/>
      <c r="I66" s="41"/>
      <c r="J66" s="41"/>
      <c r="K66" s="41"/>
      <c r="L66" s="41"/>
      <c r="M66" s="41"/>
      <c r="N66" s="41"/>
      <c r="O66" s="41"/>
      <c r="P66" s="41"/>
      <c r="Q66" s="41"/>
      <c r="R66" s="41"/>
      <c r="S66" s="41"/>
      <c r="T66" s="41"/>
      <c r="U66" s="41"/>
      <c r="V66" s="41"/>
      <c r="W66" s="41"/>
    </row>
    <row r="67" spans="1:23" ht="14.5" x14ac:dyDescent="0.35">
      <c r="A67" s="47" t="s">
        <v>78</v>
      </c>
      <c r="B67" s="47">
        <v>180</v>
      </c>
      <c r="C67" s="41"/>
      <c r="D67" s="41"/>
      <c r="E67" s="41"/>
      <c r="F67" s="41"/>
      <c r="G67" s="41"/>
      <c r="H67" s="41"/>
      <c r="I67" s="41"/>
      <c r="J67" s="41"/>
      <c r="K67" s="41"/>
      <c r="L67" s="41"/>
      <c r="M67" s="41"/>
      <c r="N67" s="41"/>
      <c r="O67" s="41"/>
      <c r="P67" s="41"/>
      <c r="Q67" s="41"/>
      <c r="R67" s="41"/>
      <c r="S67" s="41"/>
      <c r="T67" s="41"/>
      <c r="U67" s="41"/>
      <c r="V67" s="41"/>
      <c r="W67" s="41"/>
    </row>
    <row r="68" spans="1:23" ht="14.5" x14ac:dyDescent="0.35">
      <c r="A68" s="51"/>
      <c r="B68" s="52"/>
      <c r="C68" s="163">
        <v>2030</v>
      </c>
      <c r="D68" s="163">
        <v>2031</v>
      </c>
      <c r="E68" s="164">
        <v>2032</v>
      </c>
      <c r="F68" s="163">
        <v>2033</v>
      </c>
      <c r="G68" s="163">
        <v>2034</v>
      </c>
      <c r="H68" s="163">
        <v>2035</v>
      </c>
      <c r="I68" s="163">
        <v>2036</v>
      </c>
      <c r="J68" s="163">
        <v>2037</v>
      </c>
      <c r="K68" s="163">
        <v>2038</v>
      </c>
      <c r="L68" s="163">
        <v>2039</v>
      </c>
      <c r="M68" s="163">
        <v>2040</v>
      </c>
      <c r="N68" s="163">
        <v>2041</v>
      </c>
      <c r="O68" s="163">
        <v>2042</v>
      </c>
      <c r="P68" s="163">
        <v>2043</v>
      </c>
      <c r="Q68" s="163">
        <v>2044</v>
      </c>
      <c r="R68" s="163">
        <v>2045</v>
      </c>
      <c r="S68" s="163">
        <v>2046</v>
      </c>
      <c r="T68" s="163">
        <v>2047</v>
      </c>
      <c r="U68" s="163">
        <v>2048</v>
      </c>
      <c r="V68" s="163">
        <v>2049</v>
      </c>
      <c r="W68" s="165">
        <v>2050</v>
      </c>
    </row>
    <row r="69" spans="1:23" ht="14.5" x14ac:dyDescent="0.35">
      <c r="A69" s="10" t="s">
        <v>586</v>
      </c>
      <c r="B69" s="17"/>
      <c r="C69" s="372">
        <f>B66</f>
        <v>5</v>
      </c>
      <c r="D69" s="373">
        <f>C69*(1+$B65)</f>
        <v>5.9811559942565768</v>
      </c>
      <c r="E69" s="373">
        <f t="shared" ref="E69:V69" si="10">D69*(1+$B65)</f>
        <v>7.1548454055262765</v>
      </c>
      <c r="F69" s="373">
        <f t="shared" si="10"/>
        <v>8.5588492970485248</v>
      </c>
      <c r="G69" s="373">
        <f t="shared" si="10"/>
        <v>10.238362555396096</v>
      </c>
      <c r="H69" s="373">
        <f t="shared" si="10"/>
        <v>12.247448713915889</v>
      </c>
      <c r="I69" s="373">
        <f t="shared" si="10"/>
        <v>14.650780257917605</v>
      </c>
      <c r="J69" s="373">
        <f t="shared" si="10"/>
        <v>17.525720432035961</v>
      </c>
      <c r="K69" s="373">
        <f t="shared" si="10"/>
        <v>20.96481356314737</v>
      </c>
      <c r="L69" s="373">
        <f t="shared" si="10"/>
        <v>25.078764062338095</v>
      </c>
      <c r="M69" s="373">
        <f t="shared" si="10"/>
        <v>29.999999999999986</v>
      </c>
      <c r="N69" s="373">
        <f t="shared" si="10"/>
        <v>35.886935965539443</v>
      </c>
      <c r="O69" s="373">
        <f t="shared" si="10"/>
        <v>42.929072433157636</v>
      </c>
      <c r="P69" s="373">
        <f t="shared" si="10"/>
        <v>51.353095782291113</v>
      </c>
      <c r="Q69" s="373">
        <f t="shared" si="10"/>
        <v>61.430175332376528</v>
      </c>
      <c r="R69" s="373">
        <f t="shared" si="10"/>
        <v>73.484692283495278</v>
      </c>
      <c r="S69" s="373">
        <f t="shared" si="10"/>
        <v>87.904681547505561</v>
      </c>
      <c r="T69" s="373">
        <f t="shared" si="10"/>
        <v>105.15432259221569</v>
      </c>
      <c r="U69" s="373">
        <f t="shared" si="10"/>
        <v>125.78888137888414</v>
      </c>
      <c r="V69" s="373">
        <f t="shared" si="10"/>
        <v>150.47258437402849</v>
      </c>
      <c r="W69" s="373">
        <f>B67</f>
        <v>180</v>
      </c>
    </row>
    <row r="70" spans="1:23" ht="14.5" x14ac:dyDescent="0.35">
      <c r="A70" s="10" t="s">
        <v>584</v>
      </c>
      <c r="B70" s="17" t="s">
        <v>396</v>
      </c>
      <c r="C70" s="372">
        <f>(C69*10^6)*24*365*$B63/10^9</f>
        <v>15.329999999999998</v>
      </c>
      <c r="D70" s="372">
        <f t="shared" ref="D70:W70" si="11">(D69*10^6)*24*365*$B63/10^9</f>
        <v>18.338224278390658</v>
      </c>
      <c r="E70" s="372">
        <f t="shared" si="11"/>
        <v>21.936756013343562</v>
      </c>
      <c r="F70" s="372">
        <f t="shared" si="11"/>
        <v>26.241431944750772</v>
      </c>
      <c r="G70" s="372">
        <f t="shared" si="11"/>
        <v>31.390819594844427</v>
      </c>
      <c r="H70" s="372">
        <f t="shared" si="11"/>
        <v>37.550677756866122</v>
      </c>
      <c r="I70" s="372">
        <f t="shared" si="11"/>
        <v>44.919292270775372</v>
      </c>
      <c r="J70" s="372">
        <f t="shared" si="11"/>
        <v>53.733858844622254</v>
      </c>
      <c r="K70" s="372">
        <f t="shared" si="11"/>
        <v>64.278118384609826</v>
      </c>
      <c r="L70" s="372">
        <f t="shared" si="11"/>
        <v>76.891490615128589</v>
      </c>
      <c r="M70" s="372">
        <f t="shared" si="11"/>
        <v>91.979999999999947</v>
      </c>
      <c r="N70" s="372">
        <f t="shared" si="11"/>
        <v>110.02934567034391</v>
      </c>
      <c r="O70" s="372">
        <f t="shared" si="11"/>
        <v>131.6205360800613</v>
      </c>
      <c r="P70" s="372">
        <f t="shared" si="11"/>
        <v>157.44859166850455</v>
      </c>
      <c r="Q70" s="372">
        <f t="shared" si="11"/>
        <v>188.34491756906638</v>
      </c>
      <c r="R70" s="372">
        <f t="shared" si="11"/>
        <v>225.30406654119651</v>
      </c>
      <c r="S70" s="372">
        <f t="shared" si="11"/>
        <v>269.51575362465201</v>
      </c>
      <c r="T70" s="372">
        <f t="shared" si="11"/>
        <v>322.40315306773329</v>
      </c>
      <c r="U70" s="372">
        <f t="shared" si="11"/>
        <v>385.66871030765873</v>
      </c>
      <c r="V70" s="372">
        <f t="shared" si="11"/>
        <v>461.34894369077131</v>
      </c>
      <c r="W70" s="372">
        <f t="shared" si="11"/>
        <v>551.88</v>
      </c>
    </row>
    <row r="71" spans="1:23" ht="14.5" x14ac:dyDescent="0.35">
      <c r="A71" s="101" t="s">
        <v>580</v>
      </c>
      <c r="B71" s="108"/>
      <c r="C71" s="170">
        <f>IF(('Grid Emissions Intensity'!H$40-$B$64)&lt;0,0,C70*('Grid Emissions Intensity'!H$40-$B$64)/10^6)</f>
        <v>3.8533691299068012E-3</v>
      </c>
      <c r="D71" s="170">
        <f>IF(('Grid Emissions Intensity'!I$40-$B$64)&lt;0,C71,C71+(D70-C70)*('Grid Emissions Intensity'!I$40-$B$64)/10^6)</f>
        <v>4.5937628090476608E-3</v>
      </c>
      <c r="E71" s="170">
        <f>IF(('Grid Emissions Intensity'!J$40-$B$64)&lt;0,D71,D71+(E70-D70)*('Grid Emissions Intensity'!J$40-$B$64)/10^6)</f>
        <v>5.4541087593185655E-3</v>
      </c>
      <c r="F71" s="170">
        <f>IF(('Grid Emissions Intensity'!K$40-$B$64)&lt;0,E71,E71+(F70-E70)*('Grid Emissions Intensity'!K$40-$B$64)/10^6)</f>
        <v>6.4309469964353699E-3</v>
      </c>
      <c r="G71" s="170">
        <f>IF(('Grid Emissions Intensity'!L$40-$B$64)&lt;0,F71,F71+(G70-F70)*('Grid Emissions Intensity'!L$40-$B$64)/10^6)</f>
        <v>7.5445008400443986E-3</v>
      </c>
      <c r="H71" s="170">
        <f>IF(('Grid Emissions Intensity'!M$40-$B$64)&lt;0,G71,G71+(H70-G70)*('Grid Emissions Intensity'!M$40-$B$64)/10^6)</f>
        <v>8.809893684201011E-3</v>
      </c>
      <c r="I71" s="170">
        <f>IF(('Grid Emissions Intensity'!N$40-$B$64)&lt;0,H71,H71+(I70-H70)*('Grid Emissions Intensity'!N$40-$B$64)/10^6)</f>
        <v>1.0255490788453021E-2</v>
      </c>
      <c r="J71" s="170">
        <f>IF(('Grid Emissions Intensity'!O$40-$B$64)&lt;0,I71,I71+(J70-I70)*('Grid Emissions Intensity'!O$40-$B$64)/10^6)</f>
        <v>1.1917016799413115E-2</v>
      </c>
      <c r="K71" s="170">
        <f>IF(('Grid Emissions Intensity'!P$40-$B$64)&lt;0,J71,J71+(K70-J70)*('Grid Emissions Intensity'!P$40-$B$64)/10^6)</f>
        <v>1.3866916096161775E-2</v>
      </c>
      <c r="L71" s="170">
        <f>IF(('Grid Emissions Intensity'!Q$40-$B$64)&lt;0,K71,K71+(L70-K70)*('Grid Emissions Intensity'!Q$40-$B$64)/10^6)</f>
        <v>1.6153566989684381E-2</v>
      </c>
      <c r="M71" s="170">
        <f>IF(('Grid Emissions Intensity'!R$40-$B$64)&lt;0,L71,L71+(M70-L70)*('Grid Emissions Intensity'!R$40-$B$64)/10^6)</f>
        <v>1.8871517070330388E-2</v>
      </c>
      <c r="N71" s="170">
        <f>IF(('Grid Emissions Intensity'!S$40-$B$64)&lt;0,M71,M71+(N70-M70)*('Grid Emissions Intensity'!S$40-$B$64)/10^6)</f>
        <v>2.2134387121421514E-2</v>
      </c>
      <c r="O71" s="170">
        <f>IF(('Grid Emissions Intensity'!T$40-$B$64)&lt;0,N71,N71+(O70-N70)*('Grid Emissions Intensity'!T$40-$B$64)/10^6)</f>
        <v>2.6050656360221039E-2</v>
      </c>
      <c r="P71" s="170">
        <f>IF(('Grid Emissions Intensity'!U$40-$B$64)&lt;0,O71,O71+(P70-O70)*('Grid Emissions Intensity'!U$40-$B$64)/10^6)</f>
        <v>3.0750319121347101E-2</v>
      </c>
      <c r="Q71" s="170">
        <f>IF(('Grid Emissions Intensity'!V$40-$B$64)&lt;0,P71,P71+(Q70-P70)*('Grid Emissions Intensity'!V$40-$B$64)/10^6)</f>
        <v>3.638914178831134E-2</v>
      </c>
      <c r="R71" s="170">
        <f>IF(('Grid Emissions Intensity'!W$40-$B$64)&lt;0,Q71,Q71+(R70-Q70)*('Grid Emissions Intensity'!W$40-$B$64)/10^6)</f>
        <v>4.3153760618541821E-2</v>
      </c>
      <c r="S71" s="170">
        <f>IF(('Grid Emissions Intensity'!X$40-$B$64)&lt;0,R71,R71+(S70-R70)*('Grid Emissions Intensity'!X$40-$B$64)/10^6)</f>
        <v>5.1267951088701746E-2</v>
      </c>
      <c r="T71" s="170">
        <f>IF(('Grid Emissions Intensity'!Y$40-$B$64)&lt;0,S71,S71+(T70-S70)*('Grid Emissions Intensity'!Y$40-$B$64)/10^6)</f>
        <v>6.0908390404760517E-2</v>
      </c>
      <c r="U71" s="170">
        <f>IF(('Grid Emissions Intensity'!Z$40-$B$64)&lt;0,T71,T71+(U70-T70)*('Grid Emissions Intensity'!Z$40-$B$64)/10^6)</f>
        <v>7.2359955170620355E-2</v>
      </c>
      <c r="V71" s="170">
        <f>IF(('Grid Emissions Intensity'!AA$40-$B$64)&lt;0,U71,U71+(V70-U70)*('Grid Emissions Intensity'!AA$40-$B$64)/10^6)</f>
        <v>8.596033708219214E-2</v>
      </c>
      <c r="W71" s="170">
        <f>IF(('Grid Emissions Intensity'!AB$40-$B$64)&lt;0,V71,V71+(W70-V70)*('Grid Emissions Intensity'!AB$40-$B$64)/10^6)</f>
        <v>0.10226746858227723</v>
      </c>
    </row>
    <row r="72" spans="1:23" ht="14.5" x14ac:dyDescent="0.35">
      <c r="A72" s="18" t="s">
        <v>581</v>
      </c>
      <c r="B72" s="377">
        <f>SUM(C71:W71)</f>
        <v>0.63899345730139123</v>
      </c>
    </row>
    <row r="73" spans="1:23" ht="14.5" x14ac:dyDescent="0.35">
      <c r="A73" s="18" t="s">
        <v>582</v>
      </c>
      <c r="B73" s="378">
        <f>SUM(C71:L71)</f>
        <v>8.8879572892666098E-2</v>
      </c>
      <c r="W73" s="172"/>
    </row>
    <row r="74" spans="1:23" ht="19.5" x14ac:dyDescent="0.45">
      <c r="A74" s="44" t="s">
        <v>344</v>
      </c>
      <c r="B74" s="78">
        <v>5.8627465619156744</v>
      </c>
      <c r="C74" s="41"/>
      <c r="D74" s="41"/>
      <c r="E74" s="41"/>
      <c r="F74" s="41"/>
      <c r="G74" s="41"/>
      <c r="H74" s="41"/>
      <c r="I74" s="41"/>
      <c r="J74" s="41"/>
      <c r="K74" s="41"/>
      <c r="L74" s="41"/>
      <c r="M74" s="41"/>
      <c r="N74" s="41"/>
      <c r="O74" s="41"/>
      <c r="P74" s="41"/>
      <c r="Q74" s="41"/>
      <c r="R74" s="41"/>
      <c r="S74" s="41"/>
      <c r="T74" s="41"/>
      <c r="U74" s="41"/>
      <c r="V74" s="41"/>
      <c r="W74" s="41"/>
    </row>
    <row r="75" spans="1:23" ht="14.5" x14ac:dyDescent="0.35">
      <c r="A75" s="47" t="s">
        <v>66</v>
      </c>
      <c r="B75" s="79">
        <v>0.46</v>
      </c>
      <c r="C75" s="41"/>
      <c r="D75" s="41"/>
      <c r="E75" s="41"/>
      <c r="F75" s="41"/>
      <c r="G75" s="41"/>
      <c r="H75" s="41"/>
      <c r="I75" s="41"/>
      <c r="J75" s="41"/>
      <c r="K75" s="41"/>
      <c r="L75" s="41"/>
      <c r="M75" s="41"/>
      <c r="N75" s="41"/>
      <c r="O75" s="41"/>
      <c r="P75" s="41"/>
      <c r="Q75" s="41"/>
      <c r="R75" s="41"/>
      <c r="S75" s="41"/>
      <c r="T75" s="41"/>
      <c r="U75" s="41"/>
      <c r="V75" s="41"/>
      <c r="W75" s="41"/>
    </row>
    <row r="76" spans="1:23" ht="14.5" x14ac:dyDescent="0.35">
      <c r="A76" s="55" t="s">
        <v>69</v>
      </c>
      <c r="B76" s="53">
        <v>6</v>
      </c>
      <c r="C76" s="41"/>
      <c r="D76" s="41"/>
      <c r="E76" s="41"/>
      <c r="F76" s="41"/>
      <c r="G76" s="41"/>
      <c r="H76" s="41"/>
      <c r="I76" s="41"/>
      <c r="J76" s="41"/>
      <c r="K76" s="41"/>
      <c r="L76" s="41"/>
      <c r="M76" s="41"/>
      <c r="N76" s="41"/>
      <c r="O76" s="41"/>
      <c r="P76" s="41"/>
      <c r="Q76" s="41"/>
      <c r="R76" s="41"/>
      <c r="S76" s="41"/>
      <c r="T76" s="41"/>
      <c r="U76" s="41"/>
      <c r="V76" s="41"/>
      <c r="W76" s="41"/>
    </row>
    <row r="77" spans="1:23" ht="14.5" x14ac:dyDescent="0.35">
      <c r="A77" s="47" t="s">
        <v>72</v>
      </c>
      <c r="B77" s="124">
        <f>(B79/B78)^(1/20)-1</f>
        <v>4.9568577656187163E-2</v>
      </c>
      <c r="C77" s="41"/>
      <c r="D77" s="41"/>
      <c r="E77" s="41"/>
      <c r="F77" s="41"/>
      <c r="G77" s="41"/>
      <c r="H77" s="41"/>
      <c r="I77" s="41"/>
      <c r="J77" s="41"/>
      <c r="K77" s="41"/>
      <c r="L77" s="41"/>
      <c r="M77" s="41"/>
      <c r="N77" s="41"/>
      <c r="O77" s="41"/>
      <c r="P77" s="41"/>
      <c r="Q77" s="41"/>
      <c r="R77" s="41"/>
      <c r="S77" s="41"/>
      <c r="T77" s="41"/>
      <c r="U77" s="41"/>
      <c r="V77" s="41"/>
      <c r="W77" s="41"/>
    </row>
    <row r="78" spans="1:23" ht="14.5" x14ac:dyDescent="0.35">
      <c r="A78" s="47" t="s">
        <v>76</v>
      </c>
      <c r="B78" s="53">
        <v>380</v>
      </c>
      <c r="C78" s="41"/>
      <c r="D78" s="41"/>
      <c r="E78" s="41"/>
      <c r="F78" s="41"/>
      <c r="G78" s="41"/>
      <c r="H78" s="41"/>
      <c r="I78" s="41"/>
      <c r="J78" s="41"/>
      <c r="K78" s="41"/>
      <c r="L78" s="41"/>
      <c r="M78" s="41"/>
      <c r="N78" s="41"/>
      <c r="O78" s="41"/>
      <c r="P78" s="41"/>
      <c r="Q78" s="41"/>
      <c r="R78" s="41"/>
      <c r="S78" s="41"/>
      <c r="T78" s="41"/>
      <c r="U78" s="41"/>
      <c r="V78" s="41"/>
      <c r="W78" s="41"/>
    </row>
    <row r="79" spans="1:23" ht="14.5" x14ac:dyDescent="0.35">
      <c r="A79" s="47" t="s">
        <v>78</v>
      </c>
      <c r="B79" s="53">
        <v>1000</v>
      </c>
      <c r="C79" s="41">
        <v>2.6315789473684212</v>
      </c>
      <c r="D79" s="41"/>
      <c r="E79" s="41"/>
      <c r="F79" s="41"/>
      <c r="G79" s="41"/>
      <c r="H79" s="41"/>
      <c r="I79" s="41"/>
      <c r="J79" s="41"/>
      <c r="K79" s="41"/>
      <c r="L79" s="41"/>
      <c r="M79" s="41"/>
      <c r="N79" s="41"/>
      <c r="O79" s="41"/>
      <c r="P79" s="41"/>
      <c r="Q79" s="41"/>
      <c r="R79" s="41"/>
      <c r="S79" s="41"/>
      <c r="T79" s="41"/>
      <c r="U79" s="41"/>
      <c r="V79" s="41"/>
      <c r="W79" s="41"/>
    </row>
    <row r="80" spans="1:23" ht="14.5" x14ac:dyDescent="0.35">
      <c r="A80" s="51"/>
      <c r="B80" s="52"/>
      <c r="C80" s="163">
        <v>2030</v>
      </c>
      <c r="D80" s="163">
        <v>2031</v>
      </c>
      <c r="E80" s="164">
        <v>2032</v>
      </c>
      <c r="F80" s="163">
        <v>2033</v>
      </c>
      <c r="G80" s="163">
        <v>2034</v>
      </c>
      <c r="H80" s="163">
        <v>2035</v>
      </c>
      <c r="I80" s="163">
        <v>2036</v>
      </c>
      <c r="J80" s="163">
        <v>2037</v>
      </c>
      <c r="K80" s="163">
        <v>2038</v>
      </c>
      <c r="L80" s="163">
        <v>2039</v>
      </c>
      <c r="M80" s="163">
        <v>2040</v>
      </c>
      <c r="N80" s="163">
        <v>2041</v>
      </c>
      <c r="O80" s="163">
        <v>2042</v>
      </c>
      <c r="P80" s="163">
        <v>2043</v>
      </c>
      <c r="Q80" s="163">
        <v>2044</v>
      </c>
      <c r="R80" s="163">
        <v>2045</v>
      </c>
      <c r="S80" s="163">
        <v>2046</v>
      </c>
      <c r="T80" s="163">
        <v>2047</v>
      </c>
      <c r="U80" s="163">
        <v>2048</v>
      </c>
      <c r="V80" s="163">
        <v>2049</v>
      </c>
      <c r="W80" s="165">
        <v>2050</v>
      </c>
    </row>
    <row r="81" spans="1:23" ht="14.5" x14ac:dyDescent="0.35">
      <c r="A81" s="10" t="s">
        <v>585</v>
      </c>
      <c r="B81" s="17"/>
      <c r="C81" s="372">
        <f>B78</f>
        <v>380</v>
      </c>
      <c r="D81" s="373">
        <f>C81*(1+$B77)</f>
        <v>398.83605950935112</v>
      </c>
      <c r="E81" s="373">
        <f t="shared" ref="E81:V81" si="12">D81*(1+$B77)</f>
        <v>418.60579569722807</v>
      </c>
      <c r="F81" s="373">
        <f t="shared" si="12"/>
        <v>439.35548958857612</v>
      </c>
      <c r="G81" s="373">
        <f t="shared" si="12"/>
        <v>461.13371629291959</v>
      </c>
      <c r="H81" s="373">
        <f t="shared" si="12"/>
        <v>483.99145871887134</v>
      </c>
      <c r="I81" s="373">
        <f t="shared" si="12"/>
        <v>507.98222692530902</v>
      </c>
      <c r="J81" s="373">
        <f t="shared" si="12"/>
        <v>533.16218338861904</v>
      </c>
      <c r="K81" s="373">
        <f t="shared" si="12"/>
        <v>559.59027447926007</v>
      </c>
      <c r="L81" s="373">
        <f t="shared" si="12"/>
        <v>587.32836845543238</v>
      </c>
      <c r="M81" s="373">
        <f t="shared" si="12"/>
        <v>616.4414002968972</v>
      </c>
      <c r="N81" s="373">
        <f t="shared" si="12"/>
        <v>646.99752371800275</v>
      </c>
      <c r="O81" s="373">
        <f t="shared" si="12"/>
        <v>679.06827071577936</v>
      </c>
      <c r="P81" s="373">
        <f t="shared" si="12"/>
        <v>712.72871902660722</v>
      </c>
      <c r="Q81" s="373">
        <f t="shared" si="12"/>
        <v>748.05766788347239</v>
      </c>
      <c r="R81" s="373">
        <f t="shared" si="12"/>
        <v>785.13782248526059</v>
      </c>
      <c r="S81" s="373">
        <f t="shared" si="12"/>
        <v>824.05598760993087</v>
      </c>
      <c r="T81" s="373">
        <f t="shared" si="12"/>
        <v>864.90327082481974</v>
      </c>
      <c r="U81" s="373">
        <f t="shared" si="12"/>
        <v>907.77529576979009</v>
      </c>
      <c r="V81" s="373">
        <f t="shared" si="12"/>
        <v>952.77242601252317</v>
      </c>
      <c r="W81" s="374">
        <f>B79</f>
        <v>1000</v>
      </c>
    </row>
    <row r="82" spans="1:23" ht="14.5" x14ac:dyDescent="0.35">
      <c r="A82" s="10" t="s">
        <v>584</v>
      </c>
      <c r="B82" s="17" t="s">
        <v>396</v>
      </c>
      <c r="C82" s="372">
        <f>(C81*10^6)*24*365*$B75/10^9</f>
        <v>1531.248</v>
      </c>
      <c r="D82" s="372">
        <f t="shared" ref="D82:W82" si="13">(D81*10^6)*24*365*$B75/10^9</f>
        <v>1607.149785398881</v>
      </c>
      <c r="E82" s="372">
        <f t="shared" si="13"/>
        <v>1686.8139143415506</v>
      </c>
      <c r="F82" s="372">
        <f t="shared" si="13"/>
        <v>1770.4268808461268</v>
      </c>
      <c r="G82" s="372">
        <f t="shared" si="13"/>
        <v>1858.1844231739487</v>
      </c>
      <c r="H82" s="372">
        <f t="shared" si="13"/>
        <v>1950.291982053564</v>
      </c>
      <c r="I82" s="372">
        <f t="shared" si="13"/>
        <v>2046.9651816182254</v>
      </c>
      <c r="J82" s="372">
        <f t="shared" si="13"/>
        <v>2148.4303341827799</v>
      </c>
      <c r="K82" s="372">
        <f t="shared" si="13"/>
        <v>2254.9249700416262</v>
      </c>
      <c r="L82" s="372">
        <f t="shared" si="13"/>
        <v>2366.6983935280109</v>
      </c>
      <c r="M82" s="372">
        <f t="shared" si="13"/>
        <v>2484.0122666363768</v>
      </c>
      <c r="N82" s="372">
        <f t="shared" si="13"/>
        <v>2607.1412215740638</v>
      </c>
      <c r="O82" s="372">
        <f t="shared" si="13"/>
        <v>2736.3735036763042</v>
      </c>
      <c r="P82" s="372">
        <f t="shared" si="13"/>
        <v>2872.0116461896173</v>
      </c>
      <c r="Q82" s="372">
        <f t="shared" si="13"/>
        <v>3014.3731785032405</v>
      </c>
      <c r="R82" s="372">
        <f t="shared" si="13"/>
        <v>3163.7913694866065</v>
      </c>
      <c r="S82" s="372">
        <f t="shared" si="13"/>
        <v>3320.6160076729775</v>
      </c>
      <c r="T82" s="372">
        <f t="shared" si="13"/>
        <v>3485.2142201156939</v>
      </c>
      <c r="U82" s="372">
        <f t="shared" si="13"/>
        <v>3657.9713318339459</v>
      </c>
      <c r="V82" s="372">
        <f t="shared" si="13"/>
        <v>3839.2917678600634</v>
      </c>
      <c r="W82" s="372">
        <f t="shared" si="13"/>
        <v>4029.6</v>
      </c>
    </row>
    <row r="83" spans="1:23" ht="14.5" x14ac:dyDescent="0.35">
      <c r="A83" s="101" t="s">
        <v>580</v>
      </c>
      <c r="B83" s="108"/>
      <c r="C83" s="166">
        <f>C82*('Grid Emissions Intensity'!H$32-$B$76)/10^6</f>
        <v>0.37627916246443416</v>
      </c>
      <c r="D83" s="166">
        <f>D82*('Grid Emissions Intensity'!I$32-$B$76)/10^6</f>
        <v>0.38657233682234587</v>
      </c>
      <c r="E83" s="166">
        <f>E82*('Grid Emissions Intensity'!J$32-$B$76)/10^6</f>
        <v>0.39403772015743077</v>
      </c>
      <c r="F83" s="166">
        <f>F82*('Grid Emissions Intensity'!K$32-$B$76)/10^6</f>
        <v>0.39253733913748878</v>
      </c>
      <c r="G83" s="166">
        <f>G82*('Grid Emissions Intensity'!L$32-$B$76)/10^6</f>
        <v>0.39261924788626501</v>
      </c>
      <c r="H83" s="166">
        <f>H82*('Grid Emissions Intensity'!M$32-$B$76)/10^6</f>
        <v>0.39148945645526223</v>
      </c>
      <c r="I83" s="166">
        <f>I82*('Grid Emissions Intensity'!N$32-$B$76)/10^6</f>
        <v>0.39247435123720037</v>
      </c>
      <c r="J83" s="166">
        <f>J82*('Grid Emissions Intensity'!O$32-$B$76)/10^6</f>
        <v>0.3958530159401728</v>
      </c>
      <c r="K83" s="166">
        <f>K82*('Grid Emissions Intensity'!P$32-$B$76)/10^6</f>
        <v>0.40759520620043699</v>
      </c>
      <c r="L83" s="166">
        <f>L82*('Grid Emissions Intensity'!Q$32-$B$76)/10^6</f>
        <v>0.41939127478176141</v>
      </c>
      <c r="M83" s="166">
        <f>M82*('Grid Emissions Intensity'!R$32-$B$76)/10^6</f>
        <v>0.43733473802748835</v>
      </c>
      <c r="N83" s="166">
        <f>N82*('Grid Emissions Intensity'!S$32-$B$76)/10^6</f>
        <v>0.46052182534284331</v>
      </c>
      <c r="O83" s="166">
        <f>O82*('Grid Emissions Intensity'!T$32-$B$76)/10^6</f>
        <v>0.48485245368343438</v>
      </c>
      <c r="P83" s="166">
        <f>P82*('Grid Emissions Intensity'!U$32-$B$76)/10^6</f>
        <v>0.51038532187320196</v>
      </c>
      <c r="Q83" s="166">
        <f>Q82*('Grid Emissions Intensity'!V$32-$B$76)/10^6</f>
        <v>0.53718192426644229</v>
      </c>
      <c r="R83" s="166">
        <f>R82*('Grid Emissions Intensity'!W$32-$B$76)/10^6</f>
        <v>0.56530670450214227</v>
      </c>
      <c r="S83" s="166">
        <f>S82*('Grid Emissions Intensity'!X$32-$B$76)/10^6</f>
        <v>0.59479391047636376</v>
      </c>
      <c r="T83" s="166">
        <f>T82*('Grid Emissions Intensity'!Y$32-$B$76)/10^6</f>
        <v>0.61993153983071037</v>
      </c>
      <c r="U83" s="166">
        <f>U82*('Grid Emissions Intensity'!Z$32-$B$76)/10^6</f>
        <v>0.64601532676532714</v>
      </c>
      <c r="V83" s="166">
        <f>V82*('Grid Emissions Intensity'!AA$32-$B$76)/10^6</f>
        <v>0.67307795315335539</v>
      </c>
      <c r="W83" s="166">
        <f>W82*('Grid Emissions Intensity'!AB$32-$B$76)/10^6</f>
        <v>0.70793171548171197</v>
      </c>
    </row>
    <row r="84" spans="1:23" ht="14.5" x14ac:dyDescent="0.35">
      <c r="A84" s="18" t="s">
        <v>581</v>
      </c>
      <c r="B84" s="377">
        <f>SUM(C83:W83)</f>
        <v>10.186182524485819</v>
      </c>
    </row>
    <row r="85" spans="1:23" ht="14.5" x14ac:dyDescent="0.35">
      <c r="A85" s="18" t="s">
        <v>582</v>
      </c>
      <c r="B85" s="378">
        <f>SUM(C83:L83)</f>
        <v>3.9488491110827981</v>
      </c>
    </row>
    <row r="86" spans="1:23" ht="14.5" x14ac:dyDescent="0.35"/>
    <row r="87" spans="1:23" ht="14.5" x14ac:dyDescent="0.35"/>
    <row r="88" spans="1:23" ht="14.5" x14ac:dyDescent="0.35"/>
  </sheetData>
  <hyperlinks>
    <hyperlink ref="B14" r:id="rId1" display="https://www.makai.com/faq/" xr:uid="{75A72297-1275-401A-9392-789FCC498006}"/>
    <hyperlink ref="B38" r:id="rId2" display="https://royalsocietypublishing.org/doi/10.1098/rspa.2021.0469" xr:uid="{D8800064-0F58-40FF-ADBD-8B4A789A1FDE}"/>
    <hyperlink ref="B39" r:id="rId3" display="https://www.sciencedirect.com/science/article/pii/S0306261921012149" xr:uid="{5FD5C4DF-3CAA-4597-A7E3-968BED5FEB93}"/>
    <hyperlink ref="B64" r:id="rId4" display="https://www.sciencedirect.com/science/article/pii/S0306261921012149" xr:uid="{BDCC94F7-5B5F-4C45-BBE0-705ADDB16693}"/>
    <hyperlink ref="B63" r:id="rId5" display="https://research.tudelft.nl/en/publications/shifting-wave-energy-perceptions-the-case-for-wave-energy-convert" xr:uid="{2396269E-4BE2-4922-AC6C-F46F2A33822C}"/>
    <hyperlink ref="B76" r:id="rId6" display="https://orsted.com/en/insights/the-fact-file/what-is-the-carbon-footprint-of-offshore-wind" xr:uid="{BA7D5C71-BA84-42C5-A964-F9EFDBFD52E5}"/>
    <hyperlink ref="B75" r:id="rId7" display="https://nationaloffshorewind.org/wp-content/uploads/147502_Final-Report.pdf" xr:uid="{2FA0C08B-53A8-4056-B60B-46E23074BD0A}"/>
    <hyperlink ref="B79" r:id="rId8" display="https://www.mckinsey.com/industries/electric-power-and-natural-gas/our-insights/how-to-succeed-in-the-expanding-global-offshore-wind-market" xr:uid="{7949F78C-FC3A-4C25-8513-3D9FC32114C8}"/>
    <hyperlink ref="B50" r:id="rId9" display="https://royalsocietypublishing.org/doi/10.1098/rspa.2021.0469" xr:uid="{1EF87F30-7649-4255-B26B-122490CB68FA}"/>
    <hyperlink ref="B51" r:id="rId10" display="https://www.sciencedirect.com/science/article/pii/S0306261921012149" xr:uid="{19C87844-D618-4735-950B-EC91E740BC62}"/>
    <hyperlink ref="B78" r:id="rId11" display="https://www.un.org/sites/un2.un.org/files/2021/09/irena_and_gwec_offshore_wind_energy_compact_-_final_1.pdf" xr:uid="{24889814-27ED-4BE1-BA70-766DF6F6F24B}"/>
    <hyperlink ref="B17" r:id="rId12" display="https://www.irena.org/events/2022/Feb/Accelerating-the-development-of-OTEC-in-Small-Island-Developing-States-meeting" xr:uid="{E1B3DF5D-83ED-4C02-9A18-0C0415846F4F}"/>
    <hyperlink ref="B2" r:id="rId13" display="https://www.nrel.gov/docs/fy23osti/84921.pdf" xr:uid="{43263A02-2AF2-4B14-BE63-9AC9E49E2C75}"/>
    <hyperlink ref="B3" r:id="rId14" display="https://www.mmjdaily.com/article/9647782/carbon-footprint-floating-solar-energy-systems-similar-to-land-systems/" xr:uid="{47F71516-FE2A-4574-8C85-7DE4049FA83A}"/>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693E0-A2C7-4EE9-9CAB-8153451C541C}">
  <sheetPr>
    <tabColor rgb="FFC00000"/>
  </sheetPr>
  <dimension ref="A1:Z9"/>
  <sheetViews>
    <sheetView zoomScaleNormal="100" workbookViewId="0">
      <selection activeCell="E2" sqref="E2"/>
    </sheetView>
  </sheetViews>
  <sheetFormatPr defaultColWidth="8.81640625" defaultRowHeight="15" customHeight="1" x14ac:dyDescent="0.35"/>
  <cols>
    <col min="1" max="1" width="41.54296875" bestFit="1" customWidth="1"/>
    <col min="2" max="2" width="7.1796875" bestFit="1" customWidth="1"/>
    <col min="3" max="3" width="12.7265625" customWidth="1"/>
    <col min="4" max="4" width="14.54296875" customWidth="1"/>
    <col min="5" max="25" width="10.453125" bestFit="1" customWidth="1"/>
  </cols>
  <sheetData>
    <row r="1" spans="1:26" s="1" customFormat="1" ht="72.5" x14ac:dyDescent="0.35">
      <c r="A1" s="95" t="s">
        <v>588</v>
      </c>
      <c r="B1" s="203" t="s">
        <v>589</v>
      </c>
      <c r="C1" s="201" t="s">
        <v>590</v>
      </c>
      <c r="D1" s="202" t="s">
        <v>591</v>
      </c>
      <c r="E1" s="179" t="s">
        <v>558</v>
      </c>
      <c r="F1" s="95" t="s">
        <v>559</v>
      </c>
      <c r="G1" s="95" t="s">
        <v>560</v>
      </c>
      <c r="H1" s="95" t="s">
        <v>561</v>
      </c>
      <c r="I1" s="95" t="s">
        <v>562</v>
      </c>
      <c r="J1" s="95" t="s">
        <v>563</v>
      </c>
      <c r="K1" s="95" t="s">
        <v>564</v>
      </c>
      <c r="L1" s="95" t="s">
        <v>565</v>
      </c>
      <c r="M1" s="95" t="s">
        <v>566</v>
      </c>
      <c r="N1" s="95" t="s">
        <v>567</v>
      </c>
      <c r="O1" s="95" t="s">
        <v>568</v>
      </c>
      <c r="P1" s="95" t="s">
        <v>569</v>
      </c>
      <c r="Q1" s="95" t="s">
        <v>570</v>
      </c>
      <c r="R1" s="95" t="s">
        <v>571</v>
      </c>
      <c r="S1" s="95" t="s">
        <v>572</v>
      </c>
      <c r="T1" s="95" t="s">
        <v>573</v>
      </c>
      <c r="U1" s="95" t="s">
        <v>574</v>
      </c>
      <c r="V1" s="95" t="s">
        <v>575</v>
      </c>
      <c r="W1" s="95" t="s">
        <v>576</v>
      </c>
      <c r="X1" s="95" t="s">
        <v>577</v>
      </c>
      <c r="Y1" s="95" t="s">
        <v>578</v>
      </c>
    </row>
    <row r="2" spans="1:26" ht="14.5" x14ac:dyDescent="0.35">
      <c r="A2" s="93" t="s">
        <v>135</v>
      </c>
      <c r="B2" s="257">
        <f>(Y2/E2)^(1/20)-1</f>
        <v>6.9106335859549395E-2</v>
      </c>
      <c r="C2" s="138">
        <f>SUM(E2:Y2)</f>
        <v>0.79925788741911141</v>
      </c>
      <c r="D2" s="138">
        <f>SUM(E2:N2)</f>
        <v>0.24764877951192882</v>
      </c>
      <c r="E2" s="143">
        <v>1.7999999999999999E-2</v>
      </c>
      <c r="F2" s="144">
        <f>E2*(1+$B2)</f>
        <v>1.9243914045471888E-2</v>
      </c>
      <c r="G2" s="144">
        <f t="shared" ref="G2:X2" si="0">F2*(1+$B2)</f>
        <v>2.0573790432750566E-2</v>
      </c>
      <c r="H2" s="144">
        <f t="shared" si="0"/>
        <v>2.1995569704300211E-2</v>
      </c>
      <c r="I2" s="144">
        <f>H2*(1+$B2)</f>
        <v>2.3515602931707711E-2</v>
      </c>
      <c r="J2" s="144">
        <f t="shared" si="0"/>
        <v>2.514068008584611E-2</v>
      </c>
      <c r="K2" s="144">
        <f t="shared" si="0"/>
        <v>2.6878060367596077E-2</v>
      </c>
      <c r="L2" s="144">
        <f t="shared" si="0"/>
        <v>2.8735504634612417E-2</v>
      </c>
      <c r="M2" s="144">
        <f t="shared" si="0"/>
        <v>3.0721310068985579E-2</v>
      </c>
      <c r="N2" s="144">
        <f t="shared" si="0"/>
        <v>3.2844347240658253E-2</v>
      </c>
      <c r="O2" s="144">
        <f t="shared" si="0"/>
        <v>3.511409973215885E-2</v>
      </c>
      <c r="P2" s="144">
        <f t="shared" si="0"/>
        <v>3.7540706501655134E-2</v>
      </c>
      <c r="Q2" s="144">
        <f t="shared" si="0"/>
        <v>4.0135007173563282E-2</v>
      </c>
      <c r="R2" s="144">
        <f t="shared" si="0"/>
        <v>4.2908590459024967E-2</v>
      </c>
      <c r="S2" s="144">
        <f t="shared" si="0"/>
        <v>4.5873845922546203E-2</v>
      </c>
      <c r="T2" s="144">
        <f t="shared" si="0"/>
        <v>4.9044019326038898E-2</v>
      </c>
      <c r="U2" s="144">
        <f t="shared" si="0"/>
        <v>5.2433271797486372E-2</v>
      </c>
      <c r="V2" s="144">
        <f t="shared" si="0"/>
        <v>5.6056743088538502E-2</v>
      </c>
      <c r="W2" s="144">
        <f t="shared" si="0"/>
        <v>5.9930619203607517E-2</v>
      </c>
      <c r="X2" s="144">
        <f t="shared" si="0"/>
        <v>6.4072204702562779E-2</v>
      </c>
      <c r="Y2" s="93">
        <v>6.8500000000000005E-2</v>
      </c>
      <c r="Z2" s="15" t="s">
        <v>396</v>
      </c>
    </row>
    <row r="3" spans="1:26" ht="14.5" x14ac:dyDescent="0.35">
      <c r="A3" s="93" t="s">
        <v>148</v>
      </c>
      <c r="B3" s="141">
        <f>(Y3/E3)^(1/20)-1</f>
        <v>0.18129373739767707</v>
      </c>
      <c r="C3" s="142">
        <f>SUM(E3:Y3)</f>
        <v>0.35385915815474817</v>
      </c>
      <c r="D3" s="142">
        <f>SUM(E3:N3)</f>
        <v>4.7343087342455237E-2</v>
      </c>
      <c r="E3" s="143">
        <v>2E-3</v>
      </c>
      <c r="F3" s="144">
        <f>E3*(1+$B3)</f>
        <v>2.3625874747953543E-3</v>
      </c>
      <c r="G3" s="144">
        <f>F3*(1+$B3)</f>
        <v>2.7909097880299441E-3</v>
      </c>
      <c r="H3" s="144">
        <f>G3*(1+$B3)</f>
        <v>3.2968842542416515E-3</v>
      </c>
      <c r="I3" s="144">
        <f>H3*(1+$B3)</f>
        <v>3.8945887224606738E-3</v>
      </c>
      <c r="J3" s="144">
        <f t="shared" ref="J3:X3" si="1">I3*(1+$B3)</f>
        <v>4.6006532675824134E-3</v>
      </c>
      <c r="K3" s="144">
        <f t="shared" si="1"/>
        <v>5.4347228929332641E-3</v>
      </c>
      <c r="L3" s="144">
        <f t="shared" si="1"/>
        <v>6.4200041179138514E-3</v>
      </c>
      <c r="M3" s="144">
        <f t="shared" si="1"/>
        <v>7.5839106585589306E-3</v>
      </c>
      <c r="N3" s="144">
        <f t="shared" si="1"/>
        <v>8.9588261659391578E-3</v>
      </c>
      <c r="O3" s="144">
        <f t="shared" si="1"/>
        <v>1.058300524425837E-2</v>
      </c>
      <c r="P3" s="144">
        <f t="shared" si="1"/>
        <v>1.2501637817889186E-2</v>
      </c>
      <c r="Q3" s="144">
        <f t="shared" si="1"/>
        <v>1.4768106461486456E-2</v>
      </c>
      <c r="R3" s="144">
        <f t="shared" si="1"/>
        <v>1.7445471676176119E-2</v>
      </c>
      <c r="S3" s="144">
        <f t="shared" si="1"/>
        <v>2.0608226437015407E-2</v>
      </c>
      <c r="T3" s="144">
        <f t="shared" si="1"/>
        <v>2.4344368828919546E-2</v>
      </c>
      <c r="U3" s="144">
        <f t="shared" si="1"/>
        <v>2.8757850438501882E-2</v>
      </c>
      <c r="V3" s="144">
        <f t="shared" si="1"/>
        <v>3.3971468624021312E-2</v>
      </c>
      <c r="W3" s="144">
        <f t="shared" si="1"/>
        <v>4.013028313575806E-2</v>
      </c>
      <c r="X3" s="144">
        <f t="shared" si="1"/>
        <v>4.7405652148266614E-2</v>
      </c>
      <c r="Y3" s="144">
        <v>5.6000000000000001E-2</v>
      </c>
    </row>
    <row r="4" spans="1:26" ht="14.5" x14ac:dyDescent="0.35">
      <c r="A4" s="93" t="s">
        <v>592</v>
      </c>
      <c r="B4" s="141">
        <f>(Y4/E4)^(1/20)-1</f>
        <v>9.1398599702467553E-2</v>
      </c>
      <c r="C4" s="142">
        <f>SUM(E4:Y4)</f>
        <v>0.80808226292830876</v>
      </c>
      <c r="D4" s="142">
        <f>SUM(E4:N4)</f>
        <v>0.21412604489454415</v>
      </c>
      <c r="E4" s="144">
        <v>1.4E-2</v>
      </c>
      <c r="F4" s="144">
        <f>E4*(1+$B4)</f>
        <v>1.5279580395834547E-2</v>
      </c>
      <c r="G4" s="144">
        <f>F4*(1+$B4)</f>
        <v>1.6676112648055099E-2</v>
      </c>
      <c r="H4" s="144">
        <f>G4*(1+$B4)</f>
        <v>1.8200285992567945E-2</v>
      </c>
      <c r="I4" s="144">
        <f>H4*(1+$B4)</f>
        <v>1.9863766646473088E-2</v>
      </c>
      <c r="J4" s="144">
        <f t="shared" ref="J4:X4" si="2">I4*(1+$B4)</f>
        <v>2.1679287102777309E-2</v>
      </c>
      <c r="K4" s="144">
        <f t="shared" si="2"/>
        <v>2.3660743586518922E-2</v>
      </c>
      <c r="L4" s="144">
        <f t="shared" si="2"/>
        <v>2.5823302418245892E-2</v>
      </c>
      <c r="M4" s="144">
        <f t="shared" si="2"/>
        <v>2.818351609896691E-2</v>
      </c>
      <c r="N4" s="144">
        <f t="shared" si="2"/>
        <v>3.0759450005104435E-2</v>
      </c>
      <c r="O4" s="144">
        <f t="shared" si="2"/>
        <v>3.357082066318904E-2</v>
      </c>
      <c r="P4" s="144">
        <f t="shared" si="2"/>
        <v>3.6639146662667182E-2</v>
      </c>
      <c r="Q4" s="144">
        <f t="shared" si="2"/>
        <v>3.99879133619283E-2</v>
      </c>
      <c r="R4" s="144">
        <f t="shared" si="2"/>
        <v>4.3642752648232135E-2</v>
      </c>
      <c r="S4" s="144">
        <f t="shared" si="2"/>
        <v>4.7631639127441706E-2</v>
      </c>
      <c r="T4" s="144">
        <f t="shared" si="2"/>
        <v>5.1985104245223145E-2</v>
      </c>
      <c r="U4" s="144">
        <f t="shared" si="2"/>
        <v>5.673646997862334E-2</v>
      </c>
      <c r="V4" s="144">
        <f t="shared" si="2"/>
        <v>6.1922103886730605E-2</v>
      </c>
      <c r="W4" s="144">
        <f t="shared" si="2"/>
        <v>6.7581697472608504E-2</v>
      </c>
      <c r="X4" s="144">
        <f t="shared" si="2"/>
        <v>7.3758569987120715E-2</v>
      </c>
      <c r="Y4" s="93">
        <v>8.0500000000000002E-2</v>
      </c>
    </row>
    <row r="5" spans="1:26" ht="14.5" x14ac:dyDescent="0.35">
      <c r="A5" s="96" t="s">
        <v>430</v>
      </c>
      <c r="B5" s="139">
        <f>(Y5/E5)^(1/20)-1</f>
        <v>1.1592865328634794E-2</v>
      </c>
      <c r="C5" s="140">
        <f t="shared" ref="C5" si="3">SUM(E5:Y5)</f>
        <v>12.756393197995139</v>
      </c>
      <c r="D5" s="140">
        <f t="shared" ref="D5" si="4">SUM(E5:N5)</f>
        <v>5.6905945537705165</v>
      </c>
      <c r="E5" s="117">
        <v>0.54</v>
      </c>
      <c r="F5" s="117">
        <f>E5*(1+$B5)</f>
        <v>0.54626014727746286</v>
      </c>
      <c r="G5" s="117">
        <f t="shared" ref="G5:X5" si="5">F5*(1+$B5)</f>
        <v>0.55259286759925075</v>
      </c>
      <c r="H5" s="117">
        <f t="shared" si="5"/>
        <v>0.55899900229489297</v>
      </c>
      <c r="I5" s="117">
        <f t="shared" si="5"/>
        <v>0.56547940244733885</v>
      </c>
      <c r="J5" s="117">
        <f t="shared" si="5"/>
        <v>0.5720349290060277</v>
      </c>
      <c r="K5" s="117">
        <f t="shared" si="5"/>
        <v>0.57866645290126972</v>
      </c>
      <c r="L5" s="117">
        <f t="shared" si="5"/>
        <v>0.58537485515995291</v>
      </c>
      <c r="M5" s="117">
        <f t="shared" si="5"/>
        <v>0.59216102702259132</v>
      </c>
      <c r="N5" s="117">
        <f t="shared" si="5"/>
        <v>0.59902587006173025</v>
      </c>
      <c r="O5" s="117">
        <f t="shared" si="5"/>
        <v>0.60597029630172417</v>
      </c>
      <c r="P5" s="117">
        <f t="shared" si="5"/>
        <v>0.61299522833990294</v>
      </c>
      <c r="Q5" s="117">
        <f t="shared" si="5"/>
        <v>0.62010159946914312</v>
      </c>
      <c r="R5" s="117">
        <f t="shared" si="5"/>
        <v>0.62729035380185993</v>
      </c>
      <c r="S5" s="117">
        <f t="shared" si="5"/>
        <v>0.63456244639543657</v>
      </c>
      <c r="T5" s="117">
        <f t="shared" si="5"/>
        <v>0.64191884337910787</v>
      </c>
      <c r="U5" s="117">
        <f t="shared" si="5"/>
        <v>0.64936052208231487</v>
      </c>
      <c r="V5" s="117">
        <f t="shared" si="5"/>
        <v>0.65688847116454718</v>
      </c>
      <c r="W5" s="117">
        <f t="shared" si="5"/>
        <v>0.66450369074669058</v>
      </c>
      <c r="X5" s="117">
        <f t="shared" si="5"/>
        <v>0.67220719254389771</v>
      </c>
      <c r="Y5" s="117">
        <v>0.68</v>
      </c>
    </row>
    <row r="6" spans="1:26" s="113" customFormat="1" ht="29" x14ac:dyDescent="0.35">
      <c r="A6" s="263" t="s">
        <v>593</v>
      </c>
      <c r="B6" s="264">
        <f t="shared" ref="B6:Y6" si="6">SUM(B3:B4)</f>
        <v>0.27269233710014462</v>
      </c>
      <c r="C6" s="265">
        <f t="shared" si="6"/>
        <v>1.161941421083057</v>
      </c>
      <c r="D6" s="265">
        <f t="shared" si="6"/>
        <v>0.26146913223699941</v>
      </c>
      <c r="E6" s="266">
        <f t="shared" si="6"/>
        <v>1.6E-2</v>
      </c>
      <c r="F6" s="266">
        <f t="shared" si="6"/>
        <v>1.7642167870629902E-2</v>
      </c>
      <c r="G6" s="266">
        <f t="shared" si="6"/>
        <v>1.9467022436085044E-2</v>
      </c>
      <c r="H6" s="266">
        <f t="shared" si="6"/>
        <v>2.1497170246809597E-2</v>
      </c>
      <c r="I6" s="266">
        <f t="shared" si="6"/>
        <v>2.375835536893376E-2</v>
      </c>
      <c r="J6" s="266">
        <f t="shared" si="6"/>
        <v>2.6279940370359724E-2</v>
      </c>
      <c r="K6" s="266">
        <f t="shared" si="6"/>
        <v>2.9095466479452187E-2</v>
      </c>
      <c r="L6" s="266">
        <f t="shared" si="6"/>
        <v>3.2243306536159741E-2</v>
      </c>
      <c r="M6" s="266">
        <f t="shared" si="6"/>
        <v>3.5767426757525839E-2</v>
      </c>
      <c r="N6" s="266">
        <f t="shared" si="6"/>
        <v>3.9718276171043593E-2</v>
      </c>
      <c r="O6" s="266">
        <f t="shared" si="6"/>
        <v>4.415382590744741E-2</v>
      </c>
      <c r="P6" s="266">
        <f t="shared" si="6"/>
        <v>4.9140784480556365E-2</v>
      </c>
      <c r="Q6" s="266">
        <f t="shared" si="6"/>
        <v>5.4756019823414756E-2</v>
      </c>
      <c r="R6" s="266">
        <f t="shared" si="6"/>
        <v>6.1088224324408254E-2</v>
      </c>
      <c r="S6" s="266">
        <f t="shared" si="6"/>
        <v>6.8239865564457117E-2</v>
      </c>
      <c r="T6" s="266">
        <f t="shared" si="6"/>
        <v>7.6329473074142687E-2</v>
      </c>
      <c r="U6" s="266">
        <f t="shared" si="6"/>
        <v>8.5494320417125222E-2</v>
      </c>
      <c r="V6" s="266">
        <f t="shared" si="6"/>
        <v>9.5893572510751923E-2</v>
      </c>
      <c r="W6" s="266">
        <f t="shared" si="6"/>
        <v>0.10771198060836656</v>
      </c>
      <c r="X6" s="266">
        <f t="shared" si="6"/>
        <v>0.12116422213538733</v>
      </c>
      <c r="Y6" s="266">
        <f t="shared" si="6"/>
        <v>0.13650000000000001</v>
      </c>
    </row>
    <row r="7" spans="1:26" ht="14.5" x14ac:dyDescent="0.35">
      <c r="B7" s="39"/>
      <c r="C7" s="39"/>
      <c r="D7" s="39"/>
      <c r="F7" t="s">
        <v>396</v>
      </c>
      <c r="G7" t="s">
        <v>396</v>
      </c>
    </row>
    <row r="8" spans="1:26" ht="14.5" x14ac:dyDescent="0.35">
      <c r="B8" s="39"/>
      <c r="C8" s="39"/>
      <c r="D8" s="39"/>
    </row>
    <row r="9" spans="1:26" ht="14.5" x14ac:dyDescent="0.35">
      <c r="B9" s="39"/>
      <c r="C9" s="39"/>
      <c r="D9" s="3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2392F-F938-49E6-A77B-5CCC614E3DF9}">
  <sheetPr>
    <tabColor rgb="FF0070C0"/>
  </sheetPr>
  <dimension ref="A1:Y18"/>
  <sheetViews>
    <sheetView workbookViewId="0">
      <selection activeCell="E2" sqref="E2"/>
    </sheetView>
  </sheetViews>
  <sheetFormatPr defaultColWidth="8.81640625" defaultRowHeight="14.5" x14ac:dyDescent="0.35"/>
  <cols>
    <col min="1" max="1" width="26.54296875" bestFit="1" customWidth="1"/>
    <col min="2" max="2" width="12.81640625" style="4" customWidth="1"/>
    <col min="3" max="3" width="10.7265625" style="4" customWidth="1"/>
    <col min="4" max="4" width="15" style="4" customWidth="1"/>
    <col min="5" max="25" width="8.81640625" style="4"/>
  </cols>
  <sheetData>
    <row r="1" spans="1:25" s="15" customFormat="1" ht="72.5" x14ac:dyDescent="0.35">
      <c r="A1" s="146" t="s">
        <v>588</v>
      </c>
      <c r="B1" s="145" t="s">
        <v>594</v>
      </c>
      <c r="C1" s="201" t="s">
        <v>590</v>
      </c>
      <c r="D1" s="202" t="s">
        <v>591</v>
      </c>
      <c r="E1" s="146">
        <v>2030</v>
      </c>
      <c r="F1" s="146">
        <v>2031</v>
      </c>
      <c r="G1" s="146">
        <v>2032</v>
      </c>
      <c r="H1" s="146">
        <v>2033</v>
      </c>
      <c r="I1" s="146">
        <v>2034</v>
      </c>
      <c r="J1" s="146">
        <v>2035</v>
      </c>
      <c r="K1" s="146">
        <v>2036</v>
      </c>
      <c r="L1" s="146">
        <v>2037</v>
      </c>
      <c r="M1" s="146">
        <v>2038</v>
      </c>
      <c r="N1" s="146">
        <v>2039</v>
      </c>
      <c r="O1" s="146">
        <v>2040</v>
      </c>
      <c r="P1" s="146">
        <v>2041</v>
      </c>
      <c r="Q1" s="146">
        <v>2042</v>
      </c>
      <c r="R1" s="146">
        <v>2043</v>
      </c>
      <c r="S1" s="146">
        <v>2044</v>
      </c>
      <c r="T1" s="146">
        <v>2045</v>
      </c>
      <c r="U1" s="146">
        <v>2046</v>
      </c>
      <c r="V1" s="146">
        <v>2047</v>
      </c>
      <c r="W1" s="146">
        <v>2048</v>
      </c>
      <c r="X1" s="146">
        <v>2049</v>
      </c>
      <c r="Y1" s="146">
        <v>2050</v>
      </c>
    </row>
    <row r="2" spans="1:25" x14ac:dyDescent="0.35">
      <c r="A2" s="98" t="s">
        <v>183</v>
      </c>
      <c r="B2" s="150">
        <v>0.63</v>
      </c>
      <c r="C2" s="147">
        <f>SUM(E2:Y2)</f>
        <v>6.9192899999999993</v>
      </c>
      <c r="D2" s="147">
        <f>SUM(E2:N2)</f>
        <v>2.3836049999999993</v>
      </c>
      <c r="E2" s="174">
        <f>$B2*'Shipping CO2e IRENA Scenario'!C4</f>
        <v>0.1638</v>
      </c>
      <c r="F2" s="174">
        <f>$B2*'Shipping CO2e IRENA Scenario'!D4</f>
        <v>0.180369</v>
      </c>
      <c r="G2" s="174">
        <f>$B2*'Shipping CO2e IRENA Scenario'!E4</f>
        <v>0.196938</v>
      </c>
      <c r="H2" s="174">
        <f>$B2*'Shipping CO2e IRENA Scenario'!F4</f>
        <v>0.21350699999999997</v>
      </c>
      <c r="I2" s="174">
        <f>$B2*'Shipping CO2e IRENA Scenario'!G4</f>
        <v>0.23007599999999997</v>
      </c>
      <c r="J2" s="174">
        <f>$B2*'Shipping CO2e IRENA Scenario'!H4</f>
        <v>0.24664499999999998</v>
      </c>
      <c r="K2" s="174">
        <f>$B2*'Shipping CO2e IRENA Scenario'!I4</f>
        <v>0.26321399999999995</v>
      </c>
      <c r="L2" s="174">
        <f>$B2*'Shipping CO2e IRENA Scenario'!J4</f>
        <v>0.27978299999999995</v>
      </c>
      <c r="M2" s="174">
        <f>$B2*'Shipping CO2e IRENA Scenario'!K4</f>
        <v>0.29635199999999995</v>
      </c>
      <c r="N2" s="174">
        <f>$B2*'Shipping CO2e IRENA Scenario'!L4</f>
        <v>0.31292099999999995</v>
      </c>
      <c r="O2" s="174">
        <f>$B2*'Shipping CO2e IRENA Scenario'!M4</f>
        <v>0.32948999999999995</v>
      </c>
      <c r="P2" s="174">
        <f>$B2*'Shipping CO2e IRENA Scenario'!N4</f>
        <v>0.34605899999999995</v>
      </c>
      <c r="Q2" s="174">
        <f>$B2*'Shipping CO2e IRENA Scenario'!O4</f>
        <v>0.36262799999999995</v>
      </c>
      <c r="R2" s="174">
        <f>$B2*'Shipping CO2e IRENA Scenario'!P4</f>
        <v>0.37919699999999995</v>
      </c>
      <c r="S2" s="174">
        <f>$B2*'Shipping CO2e IRENA Scenario'!Q4</f>
        <v>0.3957659999999999</v>
      </c>
      <c r="T2" s="174">
        <f>$B2*'Shipping CO2e IRENA Scenario'!R4</f>
        <v>0.4123349999999999</v>
      </c>
      <c r="U2" s="174">
        <f>$B2*'Shipping CO2e IRENA Scenario'!S4</f>
        <v>0.4289039999999999</v>
      </c>
      <c r="V2" s="174">
        <f>$B2*'Shipping CO2e IRENA Scenario'!T4</f>
        <v>0.44547299999999995</v>
      </c>
      <c r="W2" s="174">
        <f>$B2*'Shipping CO2e IRENA Scenario'!U4</f>
        <v>0.46204199999999995</v>
      </c>
      <c r="X2" s="174">
        <f>$B2*'Shipping CO2e IRENA Scenario'!V4</f>
        <v>0.47861099999999995</v>
      </c>
      <c r="Y2" s="174">
        <f>$B2*'Shipping CO2e IRENA Scenario'!W4</f>
        <v>0.49518000000000001</v>
      </c>
    </row>
    <row r="3" spans="1:25" x14ac:dyDescent="0.35">
      <c r="A3" s="98" t="s">
        <v>363</v>
      </c>
      <c r="B3" s="150">
        <v>0.08</v>
      </c>
      <c r="C3" s="151">
        <f>SUM(E3:Y3)</f>
        <v>0.87863999999999987</v>
      </c>
      <c r="D3" s="151">
        <f>SUM(E3:N3)</f>
        <v>0.30268</v>
      </c>
      <c r="E3" s="174">
        <f>$B3*'Shipping CO2e IRENA Scenario'!C4</f>
        <v>2.0800000000000003E-2</v>
      </c>
      <c r="F3" s="174">
        <f>$B3*'Shipping CO2e IRENA Scenario'!D4</f>
        <v>2.2904000000000001E-2</v>
      </c>
      <c r="G3" s="174">
        <f>$B3*'Shipping CO2e IRENA Scenario'!E4</f>
        <v>2.5007999999999999E-2</v>
      </c>
      <c r="H3" s="174">
        <f>$B3*'Shipping CO2e IRENA Scenario'!F4</f>
        <v>2.7111999999999997E-2</v>
      </c>
      <c r="I3" s="174">
        <f>$B3*'Shipping CO2e IRENA Scenario'!G4</f>
        <v>2.9215999999999999E-2</v>
      </c>
      <c r="J3" s="174">
        <f>$B3*'Shipping CO2e IRENA Scenario'!H4</f>
        <v>3.1320000000000001E-2</v>
      </c>
      <c r="K3" s="174">
        <f>$B3*'Shipping CO2e IRENA Scenario'!I4</f>
        <v>3.3423999999999995E-2</v>
      </c>
      <c r="L3" s="174">
        <f>$B3*'Shipping CO2e IRENA Scenario'!J4</f>
        <v>3.5527999999999997E-2</v>
      </c>
      <c r="M3" s="174">
        <f>$B3*'Shipping CO2e IRENA Scenario'!K4</f>
        <v>3.7631999999999992E-2</v>
      </c>
      <c r="N3" s="174">
        <f>$B3*'Shipping CO2e IRENA Scenario'!L4</f>
        <v>3.9735999999999994E-2</v>
      </c>
      <c r="O3" s="174">
        <f>$B3*'Shipping CO2e IRENA Scenario'!M4</f>
        <v>4.1839999999999995E-2</v>
      </c>
      <c r="P3" s="174">
        <f>$B3*'Shipping CO2e IRENA Scenario'!N4</f>
        <v>4.394399999999999E-2</v>
      </c>
      <c r="Q3" s="174">
        <f>$B3*'Shipping CO2e IRENA Scenario'!O4</f>
        <v>4.6047999999999992E-2</v>
      </c>
      <c r="R3" s="174">
        <f>$B3*'Shipping CO2e IRENA Scenario'!P4</f>
        <v>4.8151999999999993E-2</v>
      </c>
      <c r="S3" s="174">
        <f>$B3*'Shipping CO2e IRENA Scenario'!Q4</f>
        <v>5.0255999999999988E-2</v>
      </c>
      <c r="T3" s="174">
        <f>$B3*'Shipping CO2e IRENA Scenario'!R4</f>
        <v>5.235999999999999E-2</v>
      </c>
      <c r="U3" s="174">
        <f>$B3*'Shipping CO2e IRENA Scenario'!S4</f>
        <v>5.4463999999999992E-2</v>
      </c>
      <c r="V3" s="174">
        <f>$B3*'Shipping CO2e IRENA Scenario'!T4</f>
        <v>5.6568E-2</v>
      </c>
      <c r="W3" s="174">
        <f>$B3*'Shipping CO2e IRENA Scenario'!U4</f>
        <v>5.8671999999999995E-2</v>
      </c>
      <c r="X3" s="174">
        <f>$B3*'Shipping CO2e IRENA Scenario'!V4</f>
        <v>6.0775999999999997E-2</v>
      </c>
      <c r="Y3" s="174">
        <f>$B3*'Shipping CO2e IRENA Scenario'!W4</f>
        <v>6.2880000000000005E-2</v>
      </c>
    </row>
    <row r="4" spans="1:25" x14ac:dyDescent="0.35">
      <c r="A4" s="98" t="s">
        <v>191</v>
      </c>
      <c r="B4" s="150">
        <v>0.08</v>
      </c>
      <c r="C4" s="151">
        <f>SUM(E4:Y4)</f>
        <v>0.87863999999999987</v>
      </c>
      <c r="D4" s="151">
        <f>SUM(E4:N4)</f>
        <v>0.30268</v>
      </c>
      <c r="E4" s="174">
        <f>$B4*'Shipping CO2e IRENA Scenario'!C4</f>
        <v>2.0800000000000003E-2</v>
      </c>
      <c r="F4" s="174">
        <f>$B4*'Shipping CO2e IRENA Scenario'!D4</f>
        <v>2.2904000000000001E-2</v>
      </c>
      <c r="G4" s="174">
        <f>$B4*'Shipping CO2e IRENA Scenario'!E4</f>
        <v>2.5007999999999999E-2</v>
      </c>
      <c r="H4" s="174">
        <f>$B4*'Shipping CO2e IRENA Scenario'!F4</f>
        <v>2.7111999999999997E-2</v>
      </c>
      <c r="I4" s="174">
        <f>$B4*'Shipping CO2e IRENA Scenario'!G4</f>
        <v>2.9215999999999999E-2</v>
      </c>
      <c r="J4" s="174">
        <f>$B4*'Shipping CO2e IRENA Scenario'!H4</f>
        <v>3.1320000000000001E-2</v>
      </c>
      <c r="K4" s="174">
        <f>$B4*'Shipping CO2e IRENA Scenario'!I4</f>
        <v>3.3423999999999995E-2</v>
      </c>
      <c r="L4" s="174">
        <f>$B4*'Shipping CO2e IRENA Scenario'!J4</f>
        <v>3.5527999999999997E-2</v>
      </c>
      <c r="M4" s="174">
        <f>$B4*'Shipping CO2e IRENA Scenario'!K4</f>
        <v>3.7631999999999992E-2</v>
      </c>
      <c r="N4" s="174">
        <f>$B4*'Shipping CO2e IRENA Scenario'!L4</f>
        <v>3.9735999999999994E-2</v>
      </c>
      <c r="O4" s="174">
        <f>$B4*'Shipping CO2e IRENA Scenario'!M4</f>
        <v>4.1839999999999995E-2</v>
      </c>
      <c r="P4" s="174">
        <f>$B4*'Shipping CO2e IRENA Scenario'!N4</f>
        <v>4.394399999999999E-2</v>
      </c>
      <c r="Q4" s="174">
        <f>$B4*'Shipping CO2e IRENA Scenario'!O4</f>
        <v>4.6047999999999992E-2</v>
      </c>
      <c r="R4" s="174">
        <f>$B4*'Shipping CO2e IRENA Scenario'!P4</f>
        <v>4.8151999999999993E-2</v>
      </c>
      <c r="S4" s="174">
        <f>$B4*'Shipping CO2e IRENA Scenario'!Q4</f>
        <v>5.0255999999999988E-2</v>
      </c>
      <c r="T4" s="174">
        <f>$B4*'Shipping CO2e IRENA Scenario'!R4</f>
        <v>5.235999999999999E-2</v>
      </c>
      <c r="U4" s="174">
        <f>$B4*'Shipping CO2e IRENA Scenario'!S4</f>
        <v>5.4463999999999992E-2</v>
      </c>
      <c r="V4" s="174">
        <f>$B4*'Shipping CO2e IRENA Scenario'!T4</f>
        <v>5.6568E-2</v>
      </c>
      <c r="W4" s="174">
        <f>$B4*'Shipping CO2e IRENA Scenario'!U4</f>
        <v>5.8671999999999995E-2</v>
      </c>
      <c r="X4" s="174">
        <f>$B4*'Shipping CO2e IRENA Scenario'!V4</f>
        <v>6.0775999999999997E-2</v>
      </c>
      <c r="Y4" s="174">
        <f>$B4*'Shipping CO2e IRENA Scenario'!W4</f>
        <v>6.2880000000000005E-2</v>
      </c>
    </row>
    <row r="5" spans="1:25" x14ac:dyDescent="0.35">
      <c r="A5" s="90" t="s">
        <v>595</v>
      </c>
      <c r="B5" s="148">
        <v>0.04</v>
      </c>
      <c r="C5" s="149">
        <f>SUM(E5:Y5)</f>
        <v>0.43931999999999993</v>
      </c>
      <c r="D5" s="149">
        <f>SUM(E5:N5)</f>
        <v>0.15134</v>
      </c>
      <c r="E5" s="97">
        <f>$B5*'Shipping CO2e IRENA Scenario'!C4</f>
        <v>1.0400000000000001E-2</v>
      </c>
      <c r="F5" s="97">
        <f>$B5*'Shipping CO2e IRENA Scenario'!D4</f>
        <v>1.1452E-2</v>
      </c>
      <c r="G5" s="97">
        <f>$B5*'Shipping CO2e IRENA Scenario'!E4</f>
        <v>1.2503999999999999E-2</v>
      </c>
      <c r="H5" s="97">
        <f>$B5*'Shipping CO2e IRENA Scenario'!F4</f>
        <v>1.3555999999999999E-2</v>
      </c>
      <c r="I5" s="97">
        <f>$B5*'Shipping CO2e IRENA Scenario'!G4</f>
        <v>1.4607999999999999E-2</v>
      </c>
      <c r="J5" s="97">
        <f>$B5*'Shipping CO2e IRENA Scenario'!H4</f>
        <v>1.566E-2</v>
      </c>
      <c r="K5" s="97">
        <f>$B5*'Shipping CO2e IRENA Scenario'!I4</f>
        <v>1.6711999999999998E-2</v>
      </c>
      <c r="L5" s="97">
        <f>$B5*'Shipping CO2e IRENA Scenario'!J4</f>
        <v>1.7763999999999999E-2</v>
      </c>
      <c r="M5" s="97">
        <f>$B5*'Shipping CO2e IRENA Scenario'!K4</f>
        <v>1.8815999999999996E-2</v>
      </c>
      <c r="N5" s="97">
        <f>$B5*'Shipping CO2e IRENA Scenario'!L4</f>
        <v>1.9867999999999997E-2</v>
      </c>
      <c r="O5" s="97">
        <f>$B5*'Shipping CO2e IRENA Scenario'!M4</f>
        <v>2.0919999999999998E-2</v>
      </c>
      <c r="P5" s="97">
        <f>$B5*'Shipping CO2e IRENA Scenario'!N4</f>
        <v>2.1971999999999995E-2</v>
      </c>
      <c r="Q5" s="97">
        <f>$B5*'Shipping CO2e IRENA Scenario'!O4</f>
        <v>2.3023999999999996E-2</v>
      </c>
      <c r="R5" s="97">
        <f>$B5*'Shipping CO2e IRENA Scenario'!P4</f>
        <v>2.4075999999999997E-2</v>
      </c>
      <c r="S5" s="97">
        <f>$B5*'Shipping CO2e IRENA Scenario'!Q4</f>
        <v>2.5127999999999994E-2</v>
      </c>
      <c r="T5" s="97">
        <f>$B5*'Shipping CO2e IRENA Scenario'!R4</f>
        <v>2.6179999999999995E-2</v>
      </c>
      <c r="U5" s="97">
        <f>$B5*'Shipping CO2e IRENA Scenario'!S4</f>
        <v>2.7231999999999996E-2</v>
      </c>
      <c r="V5" s="97">
        <f>$B5*'Shipping CO2e IRENA Scenario'!T4</f>
        <v>2.8284E-2</v>
      </c>
      <c r="W5" s="97">
        <f>$B5*'Shipping CO2e IRENA Scenario'!U4</f>
        <v>2.9335999999999997E-2</v>
      </c>
      <c r="X5" s="97">
        <f>$B5*'Shipping CO2e IRENA Scenario'!V4</f>
        <v>3.0387999999999998E-2</v>
      </c>
      <c r="Y5" s="97">
        <f>$B5*'Shipping CO2e IRENA Scenario'!W4</f>
        <v>3.1440000000000003E-2</v>
      </c>
    </row>
    <row r="6" spans="1:25" x14ac:dyDescent="0.35">
      <c r="C6" s="7"/>
      <c r="D6" s="7"/>
    </row>
    <row r="7" spans="1:25" x14ac:dyDescent="0.35">
      <c r="C7" s="7"/>
      <c r="D7" s="7"/>
    </row>
    <row r="10" spans="1:25" x14ac:dyDescent="0.35">
      <c r="F10" s="4" t="s">
        <v>396</v>
      </c>
      <c r="G10" s="4" t="s">
        <v>396</v>
      </c>
    </row>
    <row r="18" spans="3:3" x14ac:dyDescent="0.35">
      <c r="C18"/>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42838-0180-4707-982A-0B875427D969}">
  <sheetPr>
    <tabColor rgb="FFFFC000"/>
  </sheetPr>
  <dimension ref="A1:Z17"/>
  <sheetViews>
    <sheetView zoomScaleNormal="100" workbookViewId="0">
      <selection activeCell="C2" sqref="C2"/>
    </sheetView>
  </sheetViews>
  <sheetFormatPr defaultColWidth="8.81640625" defaultRowHeight="14.5" x14ac:dyDescent="0.35"/>
  <cols>
    <col min="1" max="1" width="52.7265625" style="1" customWidth="1"/>
    <col min="2" max="2" width="9.453125" style="4" bestFit="1" customWidth="1"/>
    <col min="3" max="3" width="15.1796875" style="4" customWidth="1"/>
    <col min="4" max="4" width="18.26953125" style="4" customWidth="1"/>
    <col min="5" max="5" width="8.81640625" style="4"/>
    <col min="6" max="6" width="11.81640625" style="4" bestFit="1" customWidth="1"/>
    <col min="7" max="24" width="8.81640625" style="4"/>
    <col min="25" max="25" width="8.81640625" style="4" bestFit="1" customWidth="1"/>
  </cols>
  <sheetData>
    <row r="1" spans="1:26" s="113" customFormat="1" ht="43.5" x14ac:dyDescent="0.35">
      <c r="A1" s="199" t="s">
        <v>588</v>
      </c>
      <c r="B1" s="200" t="s">
        <v>589</v>
      </c>
      <c r="C1" s="201" t="s">
        <v>590</v>
      </c>
      <c r="D1" s="202" t="s">
        <v>591</v>
      </c>
      <c r="E1" s="178">
        <v>2030</v>
      </c>
      <c r="F1" s="175">
        <v>2031</v>
      </c>
      <c r="G1" s="175">
        <v>2032</v>
      </c>
      <c r="H1" s="175">
        <v>2033</v>
      </c>
      <c r="I1" s="175">
        <v>2034</v>
      </c>
      <c r="J1" s="175">
        <v>2035</v>
      </c>
      <c r="K1" s="175">
        <v>2036</v>
      </c>
      <c r="L1" s="175">
        <v>2037</v>
      </c>
      <c r="M1" s="175">
        <v>2038</v>
      </c>
      <c r="N1" s="175">
        <v>2039</v>
      </c>
      <c r="O1" s="175">
        <v>2040</v>
      </c>
      <c r="P1" s="175">
        <v>2041</v>
      </c>
      <c r="Q1" s="175">
        <v>2042</v>
      </c>
      <c r="R1" s="175">
        <v>2043</v>
      </c>
      <c r="S1" s="175">
        <v>2044</v>
      </c>
      <c r="T1" s="175">
        <v>2045</v>
      </c>
      <c r="U1" s="175">
        <v>2046</v>
      </c>
      <c r="V1" s="175">
        <v>2047</v>
      </c>
      <c r="W1" s="175">
        <v>2048</v>
      </c>
      <c r="X1" s="175">
        <v>2049</v>
      </c>
      <c r="Y1" s="175">
        <v>2050</v>
      </c>
    </row>
    <row r="2" spans="1:26" x14ac:dyDescent="0.35">
      <c r="A2" s="99" t="s">
        <v>197</v>
      </c>
      <c r="B2" s="141">
        <f>(Y2/E2)^(1/20)-1</f>
        <v>-1.1523174449933893E-2</v>
      </c>
      <c r="C2" s="147">
        <f>SUM(E2:Y2)</f>
        <v>0.54368985209491816</v>
      </c>
      <c r="D2" s="147">
        <f>SUM(E2:N2)</f>
        <v>0.27541515348041107</v>
      </c>
      <c r="E2" s="177">
        <v>2.9000000000000001E-2</v>
      </c>
      <c r="F2" s="144">
        <f>E2*(1+$B2)</f>
        <v>2.8665827940951918E-2</v>
      </c>
      <c r="G2" s="144">
        <f t="shared" ref="G2:X5" si="0">F2*(1+$B2)</f>
        <v>2.8335506604836542E-2</v>
      </c>
      <c r="H2" s="144">
        <f t="shared" si="0"/>
        <v>2.8008991619101756E-2</v>
      </c>
      <c r="I2" s="144">
        <f t="shared" si="0"/>
        <v>2.7686239122508109E-2</v>
      </c>
      <c r="J2" s="144">
        <f t="shared" si="0"/>
        <v>2.7367205759236863E-2</v>
      </c>
      <c r="K2" s="144">
        <f t="shared" si="0"/>
        <v>2.705184867306594E-2</v>
      </c>
      <c r="L2" s="144">
        <f t="shared" si="0"/>
        <v>2.6740125501612987E-2</v>
      </c>
      <c r="M2" s="144">
        <f t="shared" si="0"/>
        <v>2.6431994370644776E-2</v>
      </c>
      <c r="N2" s="144">
        <f t="shared" si="0"/>
        <v>2.6127413888452165E-2</v>
      </c>
      <c r="O2" s="144">
        <f t="shared" si="0"/>
        <v>2.5826343140289906E-2</v>
      </c>
      <c r="P2" s="144">
        <f t="shared" si="0"/>
        <v>2.5528741682880492E-2</v>
      </c>
      <c r="Q2" s="144">
        <f t="shared" si="0"/>
        <v>2.5234569538981361E-2</v>
      </c>
      <c r="R2" s="144">
        <f t="shared" si="0"/>
        <v>2.4943787192014691E-2</v>
      </c>
      <c r="S2" s="144">
        <f t="shared" si="0"/>
        <v>2.4656355580759078E-2</v>
      </c>
      <c r="T2" s="144">
        <f t="shared" si="0"/>
        <v>2.4372236094102391E-2</v>
      </c>
      <c r="U2" s="144">
        <f t="shared" si="0"/>
        <v>2.4091390565855075E-2</v>
      </c>
      <c r="V2" s="144">
        <f t="shared" si="0"/>
        <v>2.3813781269623236E-2</v>
      </c>
      <c r="W2" s="144">
        <f t="shared" si="0"/>
        <v>2.3539370913740799E-2</v>
      </c>
      <c r="X2" s="144">
        <f t="shared" si="0"/>
        <v>2.3268122636260064E-2</v>
      </c>
      <c r="Y2" s="177">
        <v>2.3E-2</v>
      </c>
    </row>
    <row r="3" spans="1:26" x14ac:dyDescent="0.35">
      <c r="A3" s="99" t="s">
        <v>202</v>
      </c>
      <c r="B3" s="141">
        <f t="shared" ref="B3:B5" si="1">(Y3/E3)^(1/20)-1</f>
        <v>0.23049999793970666</v>
      </c>
      <c r="C3" s="151">
        <f t="shared" ref="C3:C5" si="2">SUM(E3:Y3)</f>
        <v>5.0063991685786256E-2</v>
      </c>
      <c r="D3" s="151">
        <f t="shared" ref="D3:D5" si="3">SUM(E3:N3)</f>
        <v>4.5281286245579446E-3</v>
      </c>
      <c r="E3" s="177">
        <v>1.4999999999999999E-4</v>
      </c>
      <c r="F3" s="144">
        <f>E3*(1+$B3)</f>
        <v>1.8457499969095598E-4</v>
      </c>
      <c r="G3" s="144">
        <f t="shared" ref="G3:U3" si="4">F3*(1+$B3)</f>
        <v>2.2711953673944268E-4</v>
      </c>
      <c r="H3" s="144">
        <f t="shared" si="4"/>
        <v>2.7947058948995135E-4</v>
      </c>
      <c r="I3" s="144">
        <f t="shared" si="4"/>
        <v>3.4388855979159376E-4</v>
      </c>
      <c r="J3" s="144">
        <f t="shared" si="4"/>
        <v>4.2315487211504481E-4</v>
      </c>
      <c r="K3" s="144">
        <f t="shared" si="4"/>
        <v>5.2069206926573942E-4</v>
      </c>
      <c r="L3" s="144">
        <f t="shared" si="4"/>
        <v>6.4071159015871397E-4</v>
      </c>
      <c r="M3" s="144">
        <f t="shared" si="4"/>
        <v>7.8839561037024372E-4</v>
      </c>
      <c r="N3" s="144">
        <f t="shared" si="4"/>
        <v>9.7012079693625862E-4</v>
      </c>
      <c r="O3" s="144">
        <f t="shared" si="4"/>
        <v>1.1937336386313327E-3</v>
      </c>
      <c r="P3" s="144">
        <f t="shared" si="4"/>
        <v>1.4688892398764134E-3</v>
      </c>
      <c r="Q3" s="144">
        <f t="shared" si="4"/>
        <v>1.8074682066415838E-3</v>
      </c>
      <c r="R3" s="144">
        <f t="shared" si="4"/>
        <v>2.2240896245485542E-3</v>
      </c>
      <c r="S3" s="144">
        <f t="shared" si="4"/>
        <v>2.736742278424719E-3</v>
      </c>
      <c r="T3" s="144">
        <f t="shared" si="4"/>
        <v>3.3675613679631246E-3</v>
      </c>
      <c r="U3" s="144">
        <f t="shared" si="4"/>
        <v>4.1437842563404603E-3</v>
      </c>
      <c r="V3" s="144">
        <f t="shared" si="0"/>
        <v>5.0989265188895253E-3</v>
      </c>
      <c r="W3" s="144">
        <f t="shared" si="0"/>
        <v>6.2742290709882761E-3</v>
      </c>
      <c r="X3" s="144">
        <f t="shared" si="0"/>
        <v>7.720438858924321E-3</v>
      </c>
      <c r="Y3" s="177">
        <v>9.4999999999999998E-3</v>
      </c>
      <c r="Z3" s="15" t="s">
        <v>396</v>
      </c>
    </row>
    <row r="4" spans="1:26" x14ac:dyDescent="0.35">
      <c r="A4" s="99" t="s">
        <v>206</v>
      </c>
      <c r="B4" s="141">
        <f t="shared" si="1"/>
        <v>0</v>
      </c>
      <c r="C4" s="151">
        <f t="shared" si="2"/>
        <v>0.33600000000000019</v>
      </c>
      <c r="D4" s="151">
        <f t="shared" si="3"/>
        <v>0.16000000000000003</v>
      </c>
      <c r="E4" s="177">
        <v>1.6E-2</v>
      </c>
      <c r="F4" s="144">
        <f>E4*(1+$B4)</f>
        <v>1.6E-2</v>
      </c>
      <c r="G4" s="144">
        <f t="shared" si="0"/>
        <v>1.6E-2</v>
      </c>
      <c r="H4" s="144">
        <f t="shared" si="0"/>
        <v>1.6E-2</v>
      </c>
      <c r="I4" s="144">
        <f t="shared" si="0"/>
        <v>1.6E-2</v>
      </c>
      <c r="J4" s="144">
        <f t="shared" si="0"/>
        <v>1.6E-2</v>
      </c>
      <c r="K4" s="144">
        <f t="shared" si="0"/>
        <v>1.6E-2</v>
      </c>
      <c r="L4" s="144">
        <f t="shared" si="0"/>
        <v>1.6E-2</v>
      </c>
      <c r="M4" s="144">
        <f t="shared" si="0"/>
        <v>1.6E-2</v>
      </c>
      <c r="N4" s="144">
        <f t="shared" si="0"/>
        <v>1.6E-2</v>
      </c>
      <c r="O4" s="144">
        <f t="shared" si="0"/>
        <v>1.6E-2</v>
      </c>
      <c r="P4" s="144">
        <f t="shared" si="0"/>
        <v>1.6E-2</v>
      </c>
      <c r="Q4" s="144">
        <f t="shared" si="0"/>
        <v>1.6E-2</v>
      </c>
      <c r="R4" s="144">
        <f t="shared" si="0"/>
        <v>1.6E-2</v>
      </c>
      <c r="S4" s="144">
        <f t="shared" si="0"/>
        <v>1.6E-2</v>
      </c>
      <c r="T4" s="144">
        <f t="shared" si="0"/>
        <v>1.6E-2</v>
      </c>
      <c r="U4" s="144">
        <f t="shared" si="0"/>
        <v>1.6E-2</v>
      </c>
      <c r="V4" s="144">
        <f t="shared" si="0"/>
        <v>1.6E-2</v>
      </c>
      <c r="W4" s="144">
        <f t="shared" si="0"/>
        <v>1.6E-2</v>
      </c>
      <c r="X4" s="144">
        <f t="shared" si="0"/>
        <v>1.6E-2</v>
      </c>
      <c r="Y4" s="177">
        <v>1.6E-2</v>
      </c>
    </row>
    <row r="5" spans="1:26" x14ac:dyDescent="0.35">
      <c r="A5" s="99" t="s">
        <v>210</v>
      </c>
      <c r="B5" s="141">
        <f t="shared" si="1"/>
        <v>4.6880234976865554E-2</v>
      </c>
      <c r="C5" s="151">
        <f t="shared" si="2"/>
        <v>0.75892138640697493</v>
      </c>
      <c r="D5" s="151">
        <f t="shared" si="3"/>
        <v>0.27271736731186019</v>
      </c>
      <c r="E5" s="177">
        <v>2.1999999999999999E-2</v>
      </c>
      <c r="F5" s="144">
        <f>E5*(1+$B5)</f>
        <v>2.3031365169491041E-2</v>
      </c>
      <c r="G5" s="144">
        <f t="shared" si="0"/>
        <v>2.4111080980474778E-2</v>
      </c>
      <c r="H5" s="144">
        <f t="shared" si="0"/>
        <v>2.5241414122385668E-2</v>
      </c>
      <c r="I5" s="144">
        <f t="shared" si="0"/>
        <v>2.6424737547591479E-2</v>
      </c>
      <c r="J5" s="144">
        <f t="shared" si="0"/>
        <v>2.7663535453024569E-2</v>
      </c>
      <c r="K5" s="144">
        <f t="shared" si="0"/>
        <v>2.896040849535321E-2</v>
      </c>
      <c r="L5" s="144">
        <f t="shared" si="0"/>
        <v>3.031807925064138E-2</v>
      </c>
      <c r="M5" s="144">
        <f t="shared" si="0"/>
        <v>3.1739397929958682E-2</v>
      </c>
      <c r="N5" s="144">
        <f t="shared" si="0"/>
        <v>3.3227348362939384E-2</v>
      </c>
      <c r="O5" s="144">
        <f t="shared" si="0"/>
        <v>3.4785054261852154E-2</v>
      </c>
      <c r="P5" s="144">
        <f t="shared" si="0"/>
        <v>3.64157857793308E-2</v>
      </c>
      <c r="Q5" s="144">
        <f t="shared" si="0"/>
        <v>3.8122966373533025E-2</v>
      </c>
      <c r="R5" s="144">
        <f t="shared" si="0"/>
        <v>3.9910179995139398E-2</v>
      </c>
      <c r="S5" s="144">
        <f t="shared" si="0"/>
        <v>4.1781178611280535E-2</v>
      </c>
      <c r="T5" s="144">
        <f t="shared" si="0"/>
        <v>4.3739890082187753E-2</v>
      </c>
      <c r="U5" s="144">
        <f t="shared" si="0"/>
        <v>4.5790426407102985E-2</v>
      </c>
      <c r="V5" s="144">
        <f t="shared" si="0"/>
        <v>4.7937092356758845E-2</v>
      </c>
      <c r="W5" s="144">
        <f t="shared" si="0"/>
        <v>5.0184394510551407E-2</v>
      </c>
      <c r="X5" s="144">
        <f t="shared" si="0"/>
        <v>5.2537050717377777E-2</v>
      </c>
      <c r="Y5" s="177">
        <v>5.5E-2</v>
      </c>
    </row>
    <row r="6" spans="1:26" x14ac:dyDescent="0.35">
      <c r="A6" s="101" t="s">
        <v>596</v>
      </c>
      <c r="B6" s="139" t="s">
        <v>597</v>
      </c>
      <c r="C6" s="253">
        <f>B9</f>
        <v>1.9046511627906975</v>
      </c>
      <c r="D6" s="253">
        <f>B10</f>
        <v>0.81627906976744191</v>
      </c>
      <c r="E6" s="97" t="s">
        <v>597</v>
      </c>
      <c r="F6" s="97" t="s">
        <v>597</v>
      </c>
      <c r="G6" s="97" t="s">
        <v>597</v>
      </c>
      <c r="H6" s="97" t="s">
        <v>597</v>
      </c>
      <c r="I6" s="97" t="s">
        <v>597</v>
      </c>
      <c r="J6" s="97" t="s">
        <v>597</v>
      </c>
      <c r="K6" s="97" t="s">
        <v>597</v>
      </c>
      <c r="L6" s="97" t="s">
        <v>597</v>
      </c>
      <c r="M6" s="97" t="s">
        <v>597</v>
      </c>
      <c r="N6" s="97" t="s">
        <v>597</v>
      </c>
      <c r="O6" s="97" t="s">
        <v>597</v>
      </c>
      <c r="P6" s="97" t="s">
        <v>597</v>
      </c>
      <c r="Q6" s="97" t="s">
        <v>597</v>
      </c>
      <c r="R6" s="97" t="s">
        <v>597</v>
      </c>
      <c r="S6" s="97" t="s">
        <v>597</v>
      </c>
      <c r="T6" s="97" t="s">
        <v>597</v>
      </c>
      <c r="U6" s="97" t="s">
        <v>597</v>
      </c>
      <c r="V6" s="97" t="s">
        <v>597</v>
      </c>
      <c r="W6" s="97" t="s">
        <v>597</v>
      </c>
      <c r="X6" s="97" t="s">
        <v>597</v>
      </c>
      <c r="Y6" s="97" t="s">
        <v>597</v>
      </c>
    </row>
    <row r="7" spans="1:26" ht="43.5" x14ac:dyDescent="0.35">
      <c r="A7" s="154" t="s">
        <v>598</v>
      </c>
      <c r="B7" s="173" t="s">
        <v>599</v>
      </c>
      <c r="C7" s="152"/>
      <c r="D7" s="7"/>
    </row>
    <row r="8" spans="1:26" x14ac:dyDescent="0.35">
      <c r="A8" s="99" t="s">
        <v>600</v>
      </c>
      <c r="B8" s="174">
        <v>3.9</v>
      </c>
    </row>
    <row r="9" spans="1:26" x14ac:dyDescent="0.35">
      <c r="A9" s="99" t="s">
        <v>601</v>
      </c>
      <c r="B9" s="174">
        <f>(21/43)*B8</f>
        <v>1.9046511627906975</v>
      </c>
      <c r="C9" s="7"/>
    </row>
    <row r="10" spans="1:26" x14ac:dyDescent="0.35">
      <c r="A10" s="101" t="s">
        <v>602</v>
      </c>
      <c r="B10" s="97">
        <f>(9/43)*B8</f>
        <v>0.81627906976744191</v>
      </c>
      <c r="C10" s="7"/>
    </row>
    <row r="17" spans="3:3" x14ac:dyDescent="0.35">
      <c r="C17"/>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5074F-FB0F-41C6-89D6-66B32897302E}">
  <sheetPr>
    <tabColor rgb="FF00B050"/>
  </sheetPr>
  <dimension ref="A1:AE35"/>
  <sheetViews>
    <sheetView topLeftCell="A15" zoomScaleNormal="100" workbookViewId="0">
      <selection activeCell="A4" sqref="A4"/>
    </sheetView>
  </sheetViews>
  <sheetFormatPr defaultColWidth="8.81640625" defaultRowHeight="14.5" x14ac:dyDescent="0.35"/>
  <cols>
    <col min="1" max="1" width="63" style="1" customWidth="1"/>
    <col min="2" max="2" width="13.7265625" style="198" bestFit="1" customWidth="1"/>
    <col min="3" max="3" width="12.26953125" style="4" bestFit="1" customWidth="1"/>
    <col min="4" max="23" width="14.453125" style="4" bestFit="1" customWidth="1"/>
  </cols>
  <sheetData>
    <row r="1" spans="1:23" ht="19.5" x14ac:dyDescent="0.45">
      <c r="A1" s="80" t="s">
        <v>462</v>
      </c>
      <c r="B1" s="188"/>
      <c r="C1" s="182">
        <f>SUM(C10:L10)</f>
        <v>5.1452891223876876E-3</v>
      </c>
    </row>
    <row r="2" spans="1:23" x14ac:dyDescent="0.35">
      <c r="A2" s="48" t="s">
        <v>224</v>
      </c>
      <c r="B2" s="189">
        <f>733*10^6</f>
        <v>733000000</v>
      </c>
    </row>
    <row r="3" spans="1:23" x14ac:dyDescent="0.35">
      <c r="A3" s="48" t="s">
        <v>603</v>
      </c>
      <c r="B3" s="189">
        <v>5000</v>
      </c>
    </row>
    <row r="4" spans="1:23" x14ac:dyDescent="0.35">
      <c r="A4" s="48" t="s">
        <v>604</v>
      </c>
      <c r="B4" s="349">
        <f>B2/B3</f>
        <v>146600</v>
      </c>
    </row>
    <row r="5" spans="1:23" x14ac:dyDescent="0.35">
      <c r="A5" s="48" t="s">
        <v>268</v>
      </c>
      <c r="B5" s="190">
        <v>0.12</v>
      </c>
      <c r="C5" s="183"/>
    </row>
    <row r="6" spans="1:23" ht="29" x14ac:dyDescent="0.35">
      <c r="A6" s="48" t="s">
        <v>605</v>
      </c>
      <c r="B6" s="191">
        <v>2</v>
      </c>
    </row>
    <row r="7" spans="1:23" x14ac:dyDescent="0.35">
      <c r="A7" s="180"/>
      <c r="B7" s="192"/>
      <c r="C7" s="184">
        <v>2030</v>
      </c>
      <c r="D7" s="155">
        <v>2031</v>
      </c>
      <c r="E7" s="155">
        <v>2032</v>
      </c>
      <c r="F7" s="155">
        <v>2033</v>
      </c>
      <c r="G7" s="155">
        <v>2034</v>
      </c>
      <c r="H7" s="155">
        <v>2035</v>
      </c>
      <c r="I7" s="155">
        <v>2036</v>
      </c>
      <c r="J7" s="155">
        <v>2037</v>
      </c>
      <c r="K7" s="155">
        <v>2038</v>
      </c>
      <c r="L7" s="155">
        <v>2039</v>
      </c>
      <c r="M7" s="155">
        <v>2040</v>
      </c>
      <c r="N7" s="155">
        <v>2041</v>
      </c>
      <c r="O7" s="155">
        <v>2042</v>
      </c>
      <c r="P7" s="155">
        <v>2043</v>
      </c>
      <c r="Q7" s="155">
        <v>2044</v>
      </c>
      <c r="R7" s="155">
        <v>2045</v>
      </c>
      <c r="S7" s="155">
        <v>2046</v>
      </c>
      <c r="T7" s="155">
        <v>2047</v>
      </c>
      <c r="U7" s="155">
        <v>2048</v>
      </c>
      <c r="V7" s="155">
        <v>2049</v>
      </c>
      <c r="W7" s="155">
        <v>2050</v>
      </c>
    </row>
    <row r="8" spans="1:23" x14ac:dyDescent="0.35">
      <c r="A8" s="181" t="s">
        <v>229</v>
      </c>
      <c r="B8" s="193"/>
      <c r="C8" s="174">
        <f>B4</f>
        <v>146600</v>
      </c>
      <c r="D8" s="156">
        <f t="shared" ref="D8:W8" si="0">C8*(1+$B5)</f>
        <v>164192.00000000003</v>
      </c>
      <c r="E8" s="156">
        <f t="shared" si="0"/>
        <v>183895.04000000004</v>
      </c>
      <c r="F8" s="156">
        <f t="shared" si="0"/>
        <v>205962.44480000006</v>
      </c>
      <c r="G8" s="156">
        <f t="shared" si="0"/>
        <v>230677.93817600008</v>
      </c>
      <c r="H8" s="156">
        <f t="shared" si="0"/>
        <v>258359.29075712012</v>
      </c>
      <c r="I8" s="156">
        <f t="shared" si="0"/>
        <v>289362.40564797458</v>
      </c>
      <c r="J8" s="156">
        <f t="shared" si="0"/>
        <v>324085.89432573155</v>
      </c>
      <c r="K8" s="156">
        <f t="shared" si="0"/>
        <v>362976.2016448194</v>
      </c>
      <c r="L8" s="156">
        <f t="shared" si="0"/>
        <v>406533.34584219777</v>
      </c>
      <c r="M8" s="156">
        <f t="shared" si="0"/>
        <v>455317.34734326153</v>
      </c>
      <c r="N8" s="156">
        <f t="shared" si="0"/>
        <v>509955.42902445298</v>
      </c>
      <c r="O8" s="156">
        <f t="shared" si="0"/>
        <v>571150.08050738741</v>
      </c>
      <c r="P8" s="156">
        <f t="shared" si="0"/>
        <v>639688.09016827401</v>
      </c>
      <c r="Q8" s="156">
        <f t="shared" si="0"/>
        <v>716450.66098846693</v>
      </c>
      <c r="R8" s="156">
        <f t="shared" si="0"/>
        <v>802424.740307083</v>
      </c>
      <c r="S8" s="156">
        <f t="shared" si="0"/>
        <v>898715.70914393303</v>
      </c>
      <c r="T8" s="156">
        <f t="shared" si="0"/>
        <v>1006561.5942412051</v>
      </c>
      <c r="U8" s="156">
        <f t="shared" si="0"/>
        <v>1127348.9855501498</v>
      </c>
      <c r="V8" s="156">
        <f t="shared" si="0"/>
        <v>1262630.8638161679</v>
      </c>
      <c r="W8" s="156">
        <f t="shared" si="0"/>
        <v>1414146.5674741082</v>
      </c>
    </row>
    <row r="9" spans="1:23" s="113" customFormat="1" ht="29" x14ac:dyDescent="0.35">
      <c r="A9" s="187" t="s">
        <v>234</v>
      </c>
      <c r="B9" s="211"/>
      <c r="C9" s="144">
        <f>C8*$B6</f>
        <v>293200</v>
      </c>
      <c r="D9" s="116">
        <f t="shared" ref="D9:W9" si="1">D8*$B6</f>
        <v>328384.00000000006</v>
      </c>
      <c r="E9" s="116">
        <f t="shared" si="1"/>
        <v>367790.08000000007</v>
      </c>
      <c r="F9" s="116">
        <f t="shared" si="1"/>
        <v>411924.88960000011</v>
      </c>
      <c r="G9" s="116">
        <f t="shared" si="1"/>
        <v>461355.87635200017</v>
      </c>
      <c r="H9" s="116">
        <f t="shared" si="1"/>
        <v>516718.58151424024</v>
      </c>
      <c r="I9" s="116">
        <f t="shared" si="1"/>
        <v>578724.81129594916</v>
      </c>
      <c r="J9" s="116">
        <f t="shared" si="1"/>
        <v>648171.78865146311</v>
      </c>
      <c r="K9" s="116">
        <f t="shared" si="1"/>
        <v>725952.40328963881</v>
      </c>
      <c r="L9" s="116">
        <f t="shared" si="1"/>
        <v>813066.69168439554</v>
      </c>
      <c r="M9" s="116">
        <f t="shared" si="1"/>
        <v>910634.69468652306</v>
      </c>
      <c r="N9" s="116">
        <f t="shared" si="1"/>
        <v>1019910.858048906</v>
      </c>
      <c r="O9" s="116">
        <f t="shared" si="1"/>
        <v>1142300.1610147748</v>
      </c>
      <c r="P9" s="116">
        <f t="shared" si="1"/>
        <v>1279376.180336548</v>
      </c>
      <c r="Q9" s="116">
        <f t="shared" si="1"/>
        <v>1432901.3219769339</v>
      </c>
      <c r="R9" s="116">
        <f t="shared" si="1"/>
        <v>1604849.480614166</v>
      </c>
      <c r="S9" s="116">
        <f t="shared" si="1"/>
        <v>1797431.4182878661</v>
      </c>
      <c r="T9" s="116">
        <f t="shared" si="1"/>
        <v>2013123.1884824103</v>
      </c>
      <c r="U9" s="116">
        <f t="shared" si="1"/>
        <v>2254697.9711002996</v>
      </c>
      <c r="V9" s="116">
        <f t="shared" si="1"/>
        <v>2525261.7276323359</v>
      </c>
      <c r="W9" s="116">
        <f t="shared" si="1"/>
        <v>2828293.1349482164</v>
      </c>
    </row>
    <row r="10" spans="1:23" x14ac:dyDescent="0.35">
      <c r="A10" s="181" t="s">
        <v>606</v>
      </c>
      <c r="B10" s="194"/>
      <c r="C10" s="97">
        <f>C9/10^9</f>
        <v>2.9320000000000003E-4</v>
      </c>
      <c r="D10" s="157">
        <f t="shared" ref="D10:V10" si="2">D9/10^9</f>
        <v>3.2838400000000003E-4</v>
      </c>
      <c r="E10" s="157">
        <f t="shared" si="2"/>
        <v>3.6779008000000006E-4</v>
      </c>
      <c r="F10" s="157">
        <f t="shared" si="2"/>
        <v>4.1192488960000009E-4</v>
      </c>
      <c r="G10" s="157">
        <f t="shared" si="2"/>
        <v>4.6135587635200018E-4</v>
      </c>
      <c r="H10" s="157">
        <f t="shared" si="2"/>
        <v>5.1671858151424029E-4</v>
      </c>
      <c r="I10" s="157">
        <f t="shared" si="2"/>
        <v>5.7872481129594912E-4</v>
      </c>
      <c r="J10" s="157">
        <f t="shared" si="2"/>
        <v>6.4817178865146316E-4</v>
      </c>
      <c r="K10" s="157">
        <f t="shared" si="2"/>
        <v>7.2595240328963886E-4</v>
      </c>
      <c r="L10" s="157">
        <f t="shared" si="2"/>
        <v>8.1306669168439551E-4</v>
      </c>
      <c r="M10" s="157">
        <f t="shared" si="2"/>
        <v>9.1063469468652305E-4</v>
      </c>
      <c r="N10" s="157">
        <f t="shared" si="2"/>
        <v>1.019910858048906E-3</v>
      </c>
      <c r="O10" s="157">
        <f t="shared" si="2"/>
        <v>1.1423001610147748E-3</v>
      </c>
      <c r="P10" s="157">
        <f t="shared" si="2"/>
        <v>1.279376180336548E-3</v>
      </c>
      <c r="Q10" s="157">
        <f t="shared" si="2"/>
        <v>1.4329013219769339E-3</v>
      </c>
      <c r="R10" s="157">
        <f t="shared" si="2"/>
        <v>1.6048494806141661E-3</v>
      </c>
      <c r="S10" s="157">
        <f t="shared" si="2"/>
        <v>1.7974314182878661E-3</v>
      </c>
      <c r="T10" s="157">
        <f t="shared" si="2"/>
        <v>2.0131231884824101E-3</v>
      </c>
      <c r="U10" s="157">
        <f t="shared" si="2"/>
        <v>2.2546979711002995E-3</v>
      </c>
      <c r="V10" s="157">
        <f t="shared" si="2"/>
        <v>2.5252617276323359E-3</v>
      </c>
      <c r="W10" s="157">
        <f>W9/10^9</f>
        <v>2.8282931349482162E-3</v>
      </c>
    </row>
    <row r="11" spans="1:23" x14ac:dyDescent="0.35">
      <c r="A11" s="207" t="s">
        <v>607</v>
      </c>
      <c r="B11" s="204">
        <f>SUM(C10:W10)</f>
        <v>2.395406925951667E-2</v>
      </c>
      <c r="D11" s="185"/>
      <c r="E11" s="185"/>
      <c r="F11" s="185"/>
      <c r="G11" s="185"/>
      <c r="H11" s="185"/>
      <c r="I11" s="185"/>
      <c r="J11" s="185"/>
      <c r="K11" s="185"/>
      <c r="L11" s="185"/>
      <c r="M11" s="185"/>
      <c r="N11" s="185"/>
      <c r="O11" s="185"/>
      <c r="P11" s="185"/>
      <c r="Q11" s="185"/>
      <c r="R11" s="185"/>
      <c r="S11" s="185"/>
      <c r="T11" s="185"/>
      <c r="U11" s="185"/>
      <c r="V11" s="185"/>
      <c r="W11" s="185"/>
    </row>
    <row r="12" spans="1:23" x14ac:dyDescent="0.35">
      <c r="A12" s="206" t="s">
        <v>608</v>
      </c>
      <c r="B12" s="205">
        <f>SUM(C10:L10)</f>
        <v>5.1452891223876876E-3</v>
      </c>
      <c r="D12" s="185"/>
      <c r="E12" s="185"/>
      <c r="F12" s="185"/>
      <c r="G12" s="185"/>
      <c r="H12" s="185"/>
      <c r="I12" s="185"/>
      <c r="J12" s="185"/>
      <c r="K12" s="185"/>
      <c r="L12" s="185"/>
      <c r="M12" s="185"/>
      <c r="N12" s="185"/>
      <c r="O12" s="185"/>
      <c r="P12" s="185"/>
      <c r="Q12" s="185"/>
      <c r="R12" s="185"/>
      <c r="S12" s="185"/>
      <c r="T12" s="185"/>
      <c r="U12" s="185"/>
      <c r="V12" s="185"/>
      <c r="W12" s="185"/>
    </row>
    <row r="13" spans="1:23" ht="19.5" x14ac:dyDescent="0.45">
      <c r="A13" s="80" t="s">
        <v>465</v>
      </c>
      <c r="B13" s="195"/>
      <c r="C13" s="182">
        <f>SUM(C21:L21)</f>
        <v>4.0191270186018058E-3</v>
      </c>
    </row>
    <row r="14" spans="1:23" x14ac:dyDescent="0.35">
      <c r="A14" s="48" t="s">
        <v>609</v>
      </c>
      <c r="B14" s="196">
        <v>0.12</v>
      </c>
    </row>
    <row r="15" spans="1:23" ht="29" x14ac:dyDescent="0.35">
      <c r="A15" s="48" t="s">
        <v>610</v>
      </c>
      <c r="B15" s="197">
        <v>0.25</v>
      </c>
    </row>
    <row r="16" spans="1:23" x14ac:dyDescent="0.35">
      <c r="A16" s="48" t="s">
        <v>249</v>
      </c>
      <c r="B16" s="197">
        <v>2022</v>
      </c>
    </row>
    <row r="17" spans="1:31" x14ac:dyDescent="0.35">
      <c r="A17" s="48" t="s">
        <v>611</v>
      </c>
      <c r="B17" s="197">
        <v>0.37</v>
      </c>
    </row>
    <row r="18" spans="1:31" ht="29" x14ac:dyDescent="0.35">
      <c r="A18" s="48" t="s">
        <v>612</v>
      </c>
      <c r="B18" s="197">
        <v>3</v>
      </c>
      <c r="C18"/>
    </row>
    <row r="19" spans="1:31" x14ac:dyDescent="0.35">
      <c r="A19" s="180"/>
      <c r="B19" s="192"/>
      <c r="C19" s="184">
        <v>2030</v>
      </c>
      <c r="D19" s="155">
        <v>2031</v>
      </c>
      <c r="E19" s="155">
        <v>2032</v>
      </c>
      <c r="F19" s="155">
        <v>2033</v>
      </c>
      <c r="G19" s="155">
        <v>2034</v>
      </c>
      <c r="H19" s="155">
        <v>2035</v>
      </c>
      <c r="I19" s="155">
        <v>2036</v>
      </c>
      <c r="J19" s="155">
        <v>2037</v>
      </c>
      <c r="K19" s="155">
        <v>2038</v>
      </c>
      <c r="L19" s="155">
        <v>2039</v>
      </c>
      <c r="M19" s="155">
        <v>2040</v>
      </c>
      <c r="N19" s="155">
        <v>2041</v>
      </c>
      <c r="O19" s="155">
        <v>2042</v>
      </c>
      <c r="P19" s="155">
        <v>2043</v>
      </c>
      <c r="Q19" s="155">
        <v>2044</v>
      </c>
      <c r="R19" s="155">
        <v>2045</v>
      </c>
      <c r="S19" s="155">
        <v>2046</v>
      </c>
      <c r="T19" s="155">
        <v>2047</v>
      </c>
      <c r="U19" s="155">
        <v>2048</v>
      </c>
      <c r="V19" s="155">
        <v>2049</v>
      </c>
      <c r="W19" s="155">
        <v>2050</v>
      </c>
    </row>
    <row r="20" spans="1:31" x14ac:dyDescent="0.35">
      <c r="A20" s="99" t="s">
        <v>613</v>
      </c>
      <c r="B20" s="194"/>
      <c r="C20" s="97">
        <f>B17*(1+B14)^8</f>
        <v>0.91610637522908001</v>
      </c>
      <c r="D20" s="156">
        <f>C20*(1+$B14)</f>
        <v>1.0260391402565696</v>
      </c>
      <c r="E20" s="156">
        <f t="shared" ref="E20:W20" si="3">D20*(1+$B14)</f>
        <v>1.149163837087358</v>
      </c>
      <c r="F20" s="156">
        <f t="shared" si="3"/>
        <v>1.2870634975378412</v>
      </c>
      <c r="G20" s="156">
        <f t="shared" si="3"/>
        <v>1.4415111172423822</v>
      </c>
      <c r="H20" s="156">
        <f t="shared" si="3"/>
        <v>1.6144924513114682</v>
      </c>
      <c r="I20" s="156">
        <f t="shared" si="3"/>
        <v>1.8082315454688447</v>
      </c>
      <c r="J20" s="156">
        <f t="shared" si="3"/>
        <v>2.0252193309251063</v>
      </c>
      <c r="K20" s="156">
        <f t="shared" si="3"/>
        <v>2.2682456506361195</v>
      </c>
      <c r="L20" s="156">
        <f t="shared" si="3"/>
        <v>2.540435128712454</v>
      </c>
      <c r="M20" s="156">
        <f t="shared" si="3"/>
        <v>2.8452873441579487</v>
      </c>
      <c r="N20" s="156">
        <f t="shared" si="3"/>
        <v>3.1867218254569027</v>
      </c>
      <c r="O20" s="156">
        <f t="shared" si="3"/>
        <v>3.5691284445117315</v>
      </c>
      <c r="P20" s="156">
        <f t="shared" si="3"/>
        <v>3.9974238578531396</v>
      </c>
      <c r="Q20" s="156">
        <f t="shared" si="3"/>
        <v>4.4771147207955169</v>
      </c>
      <c r="R20" s="156">
        <f t="shared" si="3"/>
        <v>5.0143684872909793</v>
      </c>
      <c r="S20" s="156">
        <f t="shared" si="3"/>
        <v>5.6160927057658974</v>
      </c>
      <c r="T20" s="156">
        <f t="shared" si="3"/>
        <v>6.2900238304578053</v>
      </c>
      <c r="U20" s="156">
        <f t="shared" si="3"/>
        <v>7.0448266901127425</v>
      </c>
      <c r="V20" s="156">
        <f t="shared" si="3"/>
        <v>7.8902058929262724</v>
      </c>
      <c r="W20" s="156">
        <f t="shared" si="3"/>
        <v>8.8370306000774264</v>
      </c>
      <c r="X20" s="20"/>
      <c r="Y20" s="20"/>
      <c r="Z20" s="20"/>
      <c r="AA20" s="20"/>
      <c r="AB20" s="20"/>
      <c r="AC20" s="20"/>
      <c r="AD20" s="20"/>
      <c r="AE20" s="20"/>
    </row>
    <row r="21" spans="1:31" x14ac:dyDescent="0.35">
      <c r="A21" s="99" t="s">
        <v>606</v>
      </c>
      <c r="B21" s="209"/>
      <c r="C21" s="210">
        <f>C20*0.25/1000</f>
        <v>2.2902659380727E-4</v>
      </c>
      <c r="D21" s="97">
        <f t="shared" ref="D21:V21" si="4">D20*0.25/1000</f>
        <v>2.5650978506414242E-4</v>
      </c>
      <c r="E21" s="97">
        <f t="shared" si="4"/>
        <v>2.8729095927183953E-4</v>
      </c>
      <c r="F21" s="97">
        <f t="shared" si="4"/>
        <v>3.217658743844603E-4</v>
      </c>
      <c r="G21" s="97">
        <f t="shared" si="4"/>
        <v>3.6037777931059554E-4</v>
      </c>
      <c r="H21" s="97">
        <f t="shared" si="4"/>
        <v>4.0362311282786704E-4</v>
      </c>
      <c r="I21" s="97">
        <f t="shared" si="4"/>
        <v>4.5205788636721119E-4</v>
      </c>
      <c r="J21" s="97">
        <f t="shared" si="4"/>
        <v>5.0630483273127658E-4</v>
      </c>
      <c r="K21" s="97">
        <f t="shared" si="4"/>
        <v>5.6706141265902988E-4</v>
      </c>
      <c r="L21" s="97">
        <f t="shared" si="4"/>
        <v>6.3510878217811352E-4</v>
      </c>
      <c r="M21" s="97">
        <f t="shared" si="4"/>
        <v>7.1132183603948721E-4</v>
      </c>
      <c r="N21" s="97">
        <f t="shared" si="4"/>
        <v>7.9668045636422573E-4</v>
      </c>
      <c r="O21" s="97">
        <f t="shared" si="4"/>
        <v>8.9228211112793291E-4</v>
      </c>
      <c r="P21" s="97">
        <f t="shared" si="4"/>
        <v>9.9935596446328479E-4</v>
      </c>
      <c r="Q21" s="97">
        <f t="shared" si="4"/>
        <v>1.1192786801988792E-3</v>
      </c>
      <c r="R21" s="97">
        <f t="shared" si="4"/>
        <v>1.2535921218227448E-3</v>
      </c>
      <c r="S21" s="97">
        <f t="shared" si="4"/>
        <v>1.4040231764414744E-3</v>
      </c>
      <c r="T21" s="97">
        <f t="shared" si="4"/>
        <v>1.5725059576144514E-3</v>
      </c>
      <c r="U21" s="97">
        <f t="shared" si="4"/>
        <v>1.7612066725281857E-3</v>
      </c>
      <c r="V21" s="97">
        <f t="shared" si="4"/>
        <v>1.972551473231568E-3</v>
      </c>
      <c r="W21" s="97">
        <f>W20*0.25/1000</f>
        <v>2.2092576500193565E-3</v>
      </c>
      <c r="AE21" t="s">
        <v>396</v>
      </c>
    </row>
    <row r="22" spans="1:31" x14ac:dyDescent="0.35">
      <c r="A22" s="207" t="s">
        <v>607</v>
      </c>
      <c r="B22" s="208">
        <f>SUM(C21:W21)</f>
        <v>1.8711183118453399E-2</v>
      </c>
    </row>
    <row r="23" spans="1:31" x14ac:dyDescent="0.35">
      <c r="A23" s="206" t="s">
        <v>608</v>
      </c>
      <c r="B23" s="205">
        <f>SUM(C21:L21)</f>
        <v>4.0191270186018058E-3</v>
      </c>
    </row>
    <row r="24" spans="1:31" ht="19.5" x14ac:dyDescent="0.45">
      <c r="A24" s="80" t="s">
        <v>614</v>
      </c>
      <c r="B24" s="188"/>
    </row>
    <row r="25" spans="1:31" ht="29" x14ac:dyDescent="0.35">
      <c r="A25" s="48" t="s">
        <v>615</v>
      </c>
      <c r="B25" s="197">
        <v>130000</v>
      </c>
    </row>
    <row r="26" spans="1:31" x14ac:dyDescent="0.35">
      <c r="A26" s="48" t="s">
        <v>266</v>
      </c>
      <c r="B26" s="197">
        <v>2700</v>
      </c>
    </row>
    <row r="27" spans="1:31" x14ac:dyDescent="0.35">
      <c r="A27" s="48" t="s">
        <v>268</v>
      </c>
      <c r="B27" s="190">
        <v>0.12</v>
      </c>
    </row>
    <row r="28" spans="1:31" x14ac:dyDescent="0.35">
      <c r="A28" s="180"/>
      <c r="B28" s="192"/>
      <c r="C28" s="184">
        <v>2030</v>
      </c>
      <c r="D28" s="155">
        <v>2031</v>
      </c>
      <c r="E28" s="155">
        <v>2032</v>
      </c>
      <c r="F28" s="155">
        <v>2033</v>
      </c>
      <c r="G28" s="155">
        <v>2034</v>
      </c>
      <c r="H28" s="155">
        <v>2035</v>
      </c>
      <c r="I28" s="155">
        <v>2036</v>
      </c>
      <c r="J28" s="155">
        <v>2037</v>
      </c>
      <c r="K28" s="155">
        <v>2038</v>
      </c>
      <c r="L28" s="155">
        <v>2039</v>
      </c>
      <c r="M28" s="155">
        <v>2040</v>
      </c>
      <c r="N28" s="155">
        <v>2041</v>
      </c>
      <c r="O28" s="155">
        <v>2042</v>
      </c>
      <c r="P28" s="155">
        <v>2043</v>
      </c>
      <c r="Q28" s="155">
        <v>2044</v>
      </c>
      <c r="R28" s="155">
        <v>2045</v>
      </c>
      <c r="S28" s="155">
        <v>2046</v>
      </c>
      <c r="T28" s="155">
        <v>2047</v>
      </c>
      <c r="U28" s="155">
        <v>2048</v>
      </c>
      <c r="V28" s="155">
        <v>2049</v>
      </c>
      <c r="W28" s="155">
        <v>2050</v>
      </c>
    </row>
    <row r="29" spans="1:31" x14ac:dyDescent="0.35">
      <c r="A29" s="99" t="s">
        <v>270</v>
      </c>
      <c r="B29" s="193"/>
      <c r="C29" s="174">
        <f>B26*(1+B27)^10</f>
        <v>8385.7901625293707</v>
      </c>
      <c r="D29" s="174">
        <f t="shared" ref="D29:W29" si="5">C29*(1+$B27)</f>
        <v>9392.0849820328967</v>
      </c>
      <c r="E29" s="174">
        <f t="shared" si="5"/>
        <v>10519.135179876845</v>
      </c>
      <c r="F29" s="174">
        <f t="shared" si="5"/>
        <v>11781.431401462067</v>
      </c>
      <c r="G29" s="174">
        <f t="shared" si="5"/>
        <v>13195.203169637516</v>
      </c>
      <c r="H29" s="174">
        <f t="shared" si="5"/>
        <v>14778.62754999402</v>
      </c>
      <c r="I29" s="174">
        <f t="shared" si="5"/>
        <v>16552.062855993303</v>
      </c>
      <c r="J29" s="174">
        <f t="shared" si="5"/>
        <v>18538.3103987125</v>
      </c>
      <c r="K29" s="174">
        <f t="shared" si="5"/>
        <v>20762.907646558</v>
      </c>
      <c r="L29" s="174">
        <f t="shared" si="5"/>
        <v>23254.456564144963</v>
      </c>
      <c r="M29" s="174">
        <f t="shared" si="5"/>
        <v>26044.99135184236</v>
      </c>
      <c r="N29" s="174">
        <f t="shared" si="5"/>
        <v>29170.390314063447</v>
      </c>
      <c r="O29" s="174">
        <f t="shared" si="5"/>
        <v>32670.837151751064</v>
      </c>
      <c r="P29" s="174">
        <f t="shared" si="5"/>
        <v>36591.337609961192</v>
      </c>
      <c r="Q29" s="174">
        <f t="shared" si="5"/>
        <v>40982.298123156543</v>
      </c>
      <c r="R29" s="174">
        <f t="shared" si="5"/>
        <v>45900.173897935332</v>
      </c>
      <c r="S29" s="174">
        <f t="shared" si="5"/>
        <v>51408.194765687578</v>
      </c>
      <c r="T29" s="174">
        <f t="shared" si="5"/>
        <v>57577.178137570096</v>
      </c>
      <c r="U29" s="174">
        <f t="shared" si="5"/>
        <v>64486.439514078513</v>
      </c>
      <c r="V29" s="174">
        <f t="shared" si="5"/>
        <v>72224.812255767945</v>
      </c>
      <c r="W29" s="174">
        <f t="shared" si="5"/>
        <v>80891.789726460105</v>
      </c>
      <c r="X29" t="s">
        <v>396</v>
      </c>
    </row>
    <row r="30" spans="1:31" ht="29" x14ac:dyDescent="0.35">
      <c r="A30" s="99" t="s">
        <v>616</v>
      </c>
      <c r="B30" s="193"/>
      <c r="C30" s="97">
        <f t="shared" ref="C30:W30" si="6">C29/$B25</f>
        <v>6.4506078173302853E-2</v>
      </c>
      <c r="D30" s="97">
        <f t="shared" si="6"/>
        <v>7.2246807554099207E-2</v>
      </c>
      <c r="E30" s="97">
        <f t="shared" si="6"/>
        <v>8.0916424460591108E-2</v>
      </c>
      <c r="F30" s="97">
        <f t="shared" si="6"/>
        <v>9.062639539586205E-2</v>
      </c>
      <c r="G30" s="97">
        <f t="shared" si="6"/>
        <v>0.10150156284336551</v>
      </c>
      <c r="H30" s="97">
        <f t="shared" si="6"/>
        <v>0.11368175038456939</v>
      </c>
      <c r="I30" s="97">
        <f t="shared" si="6"/>
        <v>0.12732356043071771</v>
      </c>
      <c r="J30" s="97">
        <f t="shared" si="6"/>
        <v>0.14260238768240385</v>
      </c>
      <c r="K30" s="97">
        <f t="shared" si="6"/>
        <v>0.15971467420429231</v>
      </c>
      <c r="L30" s="97">
        <f t="shared" si="6"/>
        <v>0.17888043510880741</v>
      </c>
      <c r="M30" s="97">
        <f t="shared" si="6"/>
        <v>0.20034608732186432</v>
      </c>
      <c r="N30" s="97">
        <f t="shared" si="6"/>
        <v>0.22438761780048805</v>
      </c>
      <c r="O30" s="97">
        <f t="shared" si="6"/>
        <v>0.25131413193654667</v>
      </c>
      <c r="P30" s="97">
        <f t="shared" si="6"/>
        <v>0.28147182776893226</v>
      </c>
      <c r="Q30" s="97">
        <f t="shared" si="6"/>
        <v>0.3152484471012042</v>
      </c>
      <c r="R30" s="97">
        <f t="shared" si="6"/>
        <v>0.35307826075334869</v>
      </c>
      <c r="S30" s="97">
        <f t="shared" si="6"/>
        <v>0.3954476520437506</v>
      </c>
      <c r="T30" s="97">
        <f t="shared" si="6"/>
        <v>0.44290137028900073</v>
      </c>
      <c r="U30" s="97">
        <f t="shared" si="6"/>
        <v>0.49604953472368085</v>
      </c>
      <c r="V30" s="97">
        <f t="shared" si="6"/>
        <v>0.55557547889052261</v>
      </c>
      <c r="W30" s="97">
        <f t="shared" si="6"/>
        <v>0.62224453635738541</v>
      </c>
    </row>
    <row r="31" spans="1:31" x14ac:dyDescent="0.35">
      <c r="A31" s="207" t="s">
        <v>607</v>
      </c>
      <c r="B31" s="208">
        <f>SUM(C30:W30)</f>
        <v>5.2700650212247355</v>
      </c>
    </row>
    <row r="32" spans="1:31" x14ac:dyDescent="0.35">
      <c r="A32" s="206" t="s">
        <v>608</v>
      </c>
      <c r="B32" s="205">
        <f>SUM(C30:L30)</f>
        <v>1.1320000762380114</v>
      </c>
    </row>
    <row r="35" spans="3:3" x14ac:dyDescent="0.35">
      <c r="C35" s="186"/>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BC1DA-AB5F-426A-A996-A884D01DF252}">
  <sheetPr>
    <tabColor rgb="FF92D050"/>
  </sheetPr>
  <dimension ref="A1:X14"/>
  <sheetViews>
    <sheetView workbookViewId="0">
      <selection activeCell="D5" sqref="D5"/>
    </sheetView>
  </sheetViews>
  <sheetFormatPr defaultColWidth="8.81640625" defaultRowHeight="15" customHeight="1" x14ac:dyDescent="0.35"/>
  <cols>
    <col min="1" max="1" width="72.26953125" bestFit="1" customWidth="1"/>
    <col min="2" max="2" width="6.81640625" bestFit="1" customWidth="1"/>
    <col min="3" max="3" width="6.81640625" customWidth="1"/>
    <col min="4" max="24" width="14.453125" bestFit="1" customWidth="1"/>
  </cols>
  <sheetData>
    <row r="1" spans="1:24" ht="19.5" x14ac:dyDescent="0.45">
      <c r="A1" s="44" t="s">
        <v>617</v>
      </c>
    </row>
    <row r="2" spans="1:24" ht="14.5" x14ac:dyDescent="0.35">
      <c r="A2" s="47" t="s">
        <v>618</v>
      </c>
      <c r="B2" s="47">
        <v>235</v>
      </c>
    </row>
    <row r="3" spans="1:24" ht="14.5" x14ac:dyDescent="0.35">
      <c r="A3" s="47" t="s">
        <v>281</v>
      </c>
      <c r="B3" s="47">
        <v>166</v>
      </c>
    </row>
    <row r="4" spans="1:24" ht="14.5" x14ac:dyDescent="0.35">
      <c r="A4" s="47" t="s">
        <v>283</v>
      </c>
      <c r="B4" s="214">
        <f>B3/B2</f>
        <v>0.70638297872340428</v>
      </c>
      <c r="C4" s="16"/>
      <c r="D4" s="19">
        <v>2030</v>
      </c>
      <c r="E4" s="19">
        <v>2031</v>
      </c>
      <c r="F4" s="19">
        <v>2032</v>
      </c>
      <c r="G4" s="19">
        <v>2033</v>
      </c>
      <c r="H4" s="19">
        <v>2034</v>
      </c>
      <c r="I4" s="19">
        <v>2035</v>
      </c>
      <c r="J4" s="19">
        <v>2036</v>
      </c>
      <c r="K4" s="19">
        <v>2037</v>
      </c>
      <c r="L4" s="19">
        <v>2038</v>
      </c>
      <c r="M4" s="19">
        <v>2039</v>
      </c>
      <c r="N4" s="19">
        <v>2040</v>
      </c>
      <c r="O4" s="19">
        <v>2041</v>
      </c>
      <c r="P4" s="19">
        <v>2042</v>
      </c>
      <c r="Q4" s="19">
        <v>2043</v>
      </c>
      <c r="R4" s="19">
        <v>2044</v>
      </c>
      <c r="S4" s="19">
        <v>2045</v>
      </c>
      <c r="T4" s="19">
        <v>2046</v>
      </c>
      <c r="U4" s="19">
        <v>2047</v>
      </c>
      <c r="V4" s="19">
        <v>2048</v>
      </c>
      <c r="W4" s="19">
        <v>2049</v>
      </c>
      <c r="X4" s="19">
        <v>2050</v>
      </c>
    </row>
    <row r="5" spans="1:24" ht="14.5" x14ac:dyDescent="0.35">
      <c r="A5" s="47" t="s">
        <v>286</v>
      </c>
      <c r="B5" s="215">
        <f>'Other Ocean Industry Growth'!F7</f>
        <v>0.11717768581569299</v>
      </c>
      <c r="C5" s="3"/>
      <c r="D5" s="153">
        <f>E5*(1-$B5)</f>
        <v>19.43273369049469</v>
      </c>
      <c r="E5" s="153">
        <f t="shared" ref="E5:W5" si="0">F5*(1-$B5)</f>
        <v>22.012055402620593</v>
      </c>
      <c r="F5" s="153">
        <f t="shared" si="0"/>
        <v>24.933732472495176</v>
      </c>
      <c r="G5" s="153">
        <f t="shared" si="0"/>
        <v>28.243205990474948</v>
      </c>
      <c r="H5" s="153">
        <f t="shared" si="0"/>
        <v>31.991948477843536</v>
      </c>
      <c r="I5" s="153">
        <f t="shared" si="0"/>
        <v>36.238264443284756</v>
      </c>
      <c r="J5" s="153">
        <f t="shared" si="0"/>
        <v>41.048197197833048</v>
      </c>
      <c r="K5" s="153">
        <f t="shared" si="0"/>
        <v>46.496556032070806</v>
      </c>
      <c r="L5" s="153">
        <f t="shared" si="0"/>
        <v>52.668079731346381</v>
      </c>
      <c r="M5" s="153">
        <f t="shared" si="0"/>
        <v>59.658754525263227</v>
      </c>
      <c r="N5" s="153">
        <f t="shared" si="0"/>
        <v>67.577306969619997</v>
      </c>
      <c r="O5" s="153">
        <f t="shared" si="0"/>
        <v>76.546894979720534</v>
      </c>
      <c r="P5" s="153">
        <f t="shared" si="0"/>
        <v>86.707023315837731</v>
      </c>
      <c r="Q5" s="153">
        <f t="shared" si="0"/>
        <v>98.215713312538554</v>
      </c>
      <c r="R5" s="153">
        <f t="shared" si="0"/>
        <v>111.25196059785371</v>
      </c>
      <c r="S5" s="153">
        <f t="shared" si="0"/>
        <v>126.01851902740603</v>
      </c>
      <c r="T5" s="153">
        <f t="shared" si="0"/>
        <v>142.74505413226009</v>
      </c>
      <c r="U5" s="153">
        <f t="shared" si="0"/>
        <v>161.69171512633423</v>
      </c>
      <c r="V5" s="153">
        <f t="shared" si="0"/>
        <v>183.15318102910777</v>
      </c>
      <c r="W5" s="153">
        <f t="shared" si="0"/>
        <v>207.46324383331213</v>
      </c>
      <c r="X5" s="153">
        <f>B2</f>
        <v>235</v>
      </c>
    </row>
    <row r="6" spans="1:24" ht="14.5" x14ac:dyDescent="0.35">
      <c r="A6" s="49" t="s">
        <v>619</v>
      </c>
      <c r="B6" s="216">
        <f>SUM($D$6:$X$6)/1000</f>
        <v>1.3132324565436646</v>
      </c>
      <c r="C6" s="213"/>
      <c r="D6" s="89">
        <f t="shared" ref="D6:X6" si="1">D5*$B4</f>
        <v>13.726952309030292</v>
      </c>
      <c r="E6" s="89">
        <f t="shared" si="1"/>
        <v>15.548941263127739</v>
      </c>
      <c r="F6" s="89">
        <f t="shared" si="1"/>
        <v>17.612764214613616</v>
      </c>
      <c r="G6" s="89">
        <f t="shared" si="1"/>
        <v>19.950519976250391</v>
      </c>
      <c r="H6" s="89">
        <f t="shared" si="1"/>
        <v>22.598567860944797</v>
      </c>
      <c r="I6" s="89">
        <f t="shared" si="1"/>
        <v>25.598093181213912</v>
      </c>
      <c r="J6" s="89">
        <f t="shared" si="1"/>
        <v>28.995747807831005</v>
      </c>
      <c r="K6" s="89">
        <f t="shared" si="1"/>
        <v>32.844375750313844</v>
      </c>
      <c r="L6" s="89">
        <f t="shared" si="1"/>
        <v>37.203835044270214</v>
      </c>
      <c r="M6" s="89">
        <f t="shared" si="1"/>
        <v>42.141928728483812</v>
      </c>
      <c r="N6" s="89">
        <f t="shared" si="1"/>
        <v>47.735459391306044</v>
      </c>
      <c r="O6" s="89">
        <f t="shared" si="1"/>
        <v>54.071423687802593</v>
      </c>
      <c r="P6" s="89">
        <f t="shared" si="1"/>
        <v>61.24836540608112</v>
      </c>
      <c r="Q6" s="89">
        <f t="shared" si="1"/>
        <v>69.377908127154896</v>
      </c>
      <c r="R6" s="89">
        <f t="shared" si="1"/>
        <v>78.586491315930715</v>
      </c>
      <c r="S6" s="89">
        <f t="shared" si="1"/>
        <v>89.017336844891076</v>
      </c>
      <c r="T6" s="89">
        <f t="shared" si="1"/>
        <v>100.83267653597947</v>
      </c>
      <c r="U6" s="89">
        <f t="shared" si="1"/>
        <v>114.2162753658361</v>
      </c>
      <c r="V6" s="89">
        <f t="shared" si="1"/>
        <v>129.37628957800806</v>
      </c>
      <c r="W6" s="89">
        <f t="shared" si="1"/>
        <v>146.54850415459495</v>
      </c>
      <c r="X6" s="89">
        <f t="shared" si="1"/>
        <v>166</v>
      </c>
    </row>
    <row r="7" spans="1:24" ht="14.5" x14ac:dyDescent="0.35">
      <c r="A7" s="49" t="s">
        <v>620</v>
      </c>
      <c r="B7" s="217">
        <f>SUM($D$6:$M$6)/1000</f>
        <v>0.25622172613607963</v>
      </c>
      <c r="C7" s="213"/>
    </row>
    <row r="8" spans="1:24" ht="19.5" x14ac:dyDescent="0.45">
      <c r="A8" s="44" t="s">
        <v>621</v>
      </c>
      <c r="B8" s="87"/>
      <c r="C8" s="16"/>
    </row>
    <row r="9" spans="1:24" ht="14.5" x14ac:dyDescent="0.35">
      <c r="A9" s="55" t="s">
        <v>622</v>
      </c>
      <c r="B9" s="91">
        <v>4</v>
      </c>
    </row>
    <row r="10" spans="1:24" ht="14.5" x14ac:dyDescent="0.35">
      <c r="A10" s="55" t="s">
        <v>623</v>
      </c>
      <c r="B10" s="212">
        <v>0.64400000000000002</v>
      </c>
      <c r="C10" s="153"/>
      <c r="D10" s="16"/>
      <c r="E10" s="16"/>
      <c r="F10" s="16"/>
      <c r="G10" s="16"/>
      <c r="H10" s="16"/>
      <c r="I10" s="16"/>
      <c r="J10" s="16"/>
      <c r="K10" s="16"/>
      <c r="L10" s="16"/>
      <c r="M10" s="16"/>
      <c r="N10" s="16"/>
      <c r="O10" s="16"/>
      <c r="P10" s="16"/>
      <c r="Q10" s="16"/>
      <c r="R10" s="16"/>
      <c r="S10" s="16"/>
      <c r="T10" s="16"/>
      <c r="U10" s="16"/>
      <c r="V10" s="16"/>
      <c r="W10" s="16"/>
      <c r="X10" s="16"/>
    </row>
    <row r="11" spans="1:24" ht="14.5" x14ac:dyDescent="0.35">
      <c r="A11" s="55" t="s">
        <v>299</v>
      </c>
      <c r="B11" s="212">
        <f>B10/B9</f>
        <v>0.161</v>
      </c>
      <c r="C11" s="153"/>
    </row>
    <row r="12" spans="1:24" ht="14.5" x14ac:dyDescent="0.35">
      <c r="A12" s="100" t="s">
        <v>624</v>
      </c>
      <c r="B12" s="88">
        <f>B6/B11</f>
        <v>8.1567233325693458</v>
      </c>
      <c r="C12" s="218"/>
    </row>
    <row r="13" spans="1:24" ht="14.5" x14ac:dyDescent="0.35">
      <c r="A13" s="100" t="s">
        <v>625</v>
      </c>
      <c r="B13" s="88">
        <f>B7/B11</f>
        <v>1.5914392927706809</v>
      </c>
      <c r="C13" s="218"/>
    </row>
    <row r="14" spans="1:24" ht="14.5" x14ac:dyDescent="0.3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6C5A7-187D-4BF1-8F0F-F489749B324B}">
  <sheetPr>
    <tabColor theme="5"/>
  </sheetPr>
  <dimension ref="A1:D8"/>
  <sheetViews>
    <sheetView workbookViewId="0">
      <selection activeCell="C8" sqref="C8"/>
    </sheetView>
  </sheetViews>
  <sheetFormatPr defaultRowHeight="14.5" x14ac:dyDescent="0.35"/>
  <cols>
    <col min="1" max="1" width="43.453125" bestFit="1" customWidth="1"/>
    <col min="2" max="2" width="11.81640625" bestFit="1" customWidth="1"/>
    <col min="4" max="4" width="36.54296875" bestFit="1" customWidth="1"/>
  </cols>
  <sheetData>
    <row r="1" spans="1:4" x14ac:dyDescent="0.35">
      <c r="A1" s="46" t="s">
        <v>626</v>
      </c>
      <c r="B1" s="46"/>
      <c r="C1" s="46"/>
      <c r="D1" s="46"/>
    </row>
    <row r="2" spans="1:4" x14ac:dyDescent="0.35">
      <c r="A2" s="56" t="s">
        <v>627</v>
      </c>
      <c r="B2" s="121">
        <v>14119</v>
      </c>
      <c r="C2" s="121" t="s">
        <v>628</v>
      </c>
      <c r="D2" s="47"/>
    </row>
    <row r="3" spans="1:4" x14ac:dyDescent="0.35">
      <c r="A3" s="56" t="s">
        <v>629</v>
      </c>
      <c r="B3" s="121">
        <v>23.5</v>
      </c>
      <c r="C3" s="121" t="s">
        <v>630</v>
      </c>
      <c r="D3" s="47" t="s">
        <v>631</v>
      </c>
    </row>
    <row r="4" spans="1:4" x14ac:dyDescent="0.35">
      <c r="A4" s="50" t="s">
        <v>632</v>
      </c>
      <c r="B4" s="121">
        <f>B3*CO2_Potential_MRE!B14*24*365/1000</f>
        <v>195.56699999999998</v>
      </c>
      <c r="C4" s="121" t="s">
        <v>633</v>
      </c>
      <c r="D4" s="47"/>
    </row>
    <row r="5" spans="1:4" ht="29" x14ac:dyDescent="0.35">
      <c r="A5" s="57" t="s">
        <v>634</v>
      </c>
      <c r="B5" s="121">
        <f>B4/B2</f>
        <v>1.3851335080388128E-2</v>
      </c>
      <c r="C5" s="121"/>
      <c r="D5" s="48" t="s">
        <v>635</v>
      </c>
    </row>
    <row r="6" spans="1:4" x14ac:dyDescent="0.35">
      <c r="A6" s="50" t="s">
        <v>636</v>
      </c>
      <c r="B6" s="121">
        <v>107012</v>
      </c>
      <c r="C6" s="121" t="s">
        <v>628</v>
      </c>
      <c r="D6" s="47"/>
    </row>
    <row r="7" spans="1:4" ht="29" x14ac:dyDescent="0.35">
      <c r="A7" s="50" t="s">
        <v>637</v>
      </c>
      <c r="B7" s="121">
        <f>B6*B5</f>
        <v>1482.2590696224943</v>
      </c>
      <c r="C7" s="121" t="s">
        <v>633</v>
      </c>
      <c r="D7" s="48" t="s">
        <v>638</v>
      </c>
    </row>
    <row r="8" spans="1:4" x14ac:dyDescent="0.35">
      <c r="A8" s="50" t="s">
        <v>639</v>
      </c>
      <c r="B8" s="121">
        <f>B7/(CO2_Potential_MRE!$B$14*24*365/1000)</f>
        <v>178.113322473263</v>
      </c>
      <c r="C8" s="121" t="s">
        <v>630</v>
      </c>
      <c r="D8" s="47"/>
    </row>
  </sheetData>
  <hyperlinks>
    <hyperlink ref="A3" r:id="rId1" location="bib4" xr:uid="{2E069183-90EA-4792-B8EB-CBBA9804EE39}"/>
    <hyperlink ref="A2" r:id="rId2" display="Total OTEC potential in Indonesia" xr:uid="{2F04E624-AE91-4E1E-8869-85A570723AAF}"/>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67CC8-838B-4FC1-81AE-BEBC9BD6D0EF}">
  <sheetPr>
    <tabColor theme="5"/>
  </sheetPr>
  <dimension ref="A1:AB43"/>
  <sheetViews>
    <sheetView zoomScale="95" workbookViewId="0">
      <selection activeCell="A13" sqref="A13"/>
    </sheetView>
  </sheetViews>
  <sheetFormatPr defaultColWidth="8.81640625" defaultRowHeight="14.5" x14ac:dyDescent="0.35"/>
  <cols>
    <col min="1" max="1" width="39" style="15" bestFit="1" customWidth="1"/>
    <col min="2" max="2" width="12.453125" style="15" bestFit="1" customWidth="1"/>
    <col min="3" max="7" width="12.453125" style="15" customWidth="1"/>
    <col min="8" max="8" width="11.81640625" style="59" bestFit="1" customWidth="1"/>
    <col min="9" max="17" width="11.81640625" style="15" bestFit="1" customWidth="1"/>
    <col min="18" max="27" width="10.81640625" style="15" bestFit="1" customWidth="1"/>
    <col min="28" max="28" width="12.54296875" style="59" bestFit="1" customWidth="1"/>
    <col min="29" max="16384" width="8.81640625" style="4"/>
  </cols>
  <sheetData>
    <row r="1" spans="1:28" x14ac:dyDescent="0.35">
      <c r="A1" s="15" t="s">
        <v>11</v>
      </c>
      <c r="B1" s="346" t="s">
        <v>640</v>
      </c>
      <c r="H1" s="345"/>
      <c r="AB1" s="345"/>
    </row>
    <row r="2" spans="1:28" ht="15" thickBot="1" x14ac:dyDescent="0.4">
      <c r="A2" s="31" t="s">
        <v>626</v>
      </c>
      <c r="B2" s="30" t="s">
        <v>641</v>
      </c>
      <c r="C2" s="30" t="s">
        <v>642</v>
      </c>
      <c r="D2" s="30" t="s">
        <v>643</v>
      </c>
      <c r="E2" s="30" t="s">
        <v>644</v>
      </c>
      <c r="F2" s="30" t="s">
        <v>645</v>
      </c>
      <c r="G2" s="30" t="s">
        <v>646</v>
      </c>
      <c r="H2" s="62" t="s">
        <v>558</v>
      </c>
      <c r="I2" s="30" t="s">
        <v>559</v>
      </c>
      <c r="J2" s="30" t="s">
        <v>560</v>
      </c>
      <c r="K2" s="30" t="s">
        <v>561</v>
      </c>
      <c r="L2" s="30" t="s">
        <v>562</v>
      </c>
      <c r="M2" s="30" t="s">
        <v>563</v>
      </c>
      <c r="N2" s="30" t="s">
        <v>564</v>
      </c>
      <c r="O2" s="30" t="s">
        <v>565</v>
      </c>
      <c r="P2" s="30" t="s">
        <v>566</v>
      </c>
      <c r="Q2" s="30" t="s">
        <v>567</v>
      </c>
      <c r="R2" s="30" t="s">
        <v>568</v>
      </c>
      <c r="S2" s="30" t="s">
        <v>569</v>
      </c>
      <c r="T2" s="30" t="s">
        <v>570</v>
      </c>
      <c r="U2" s="30" t="s">
        <v>571</v>
      </c>
      <c r="V2" s="30" t="s">
        <v>572</v>
      </c>
      <c r="W2" s="30" t="s">
        <v>573</v>
      </c>
      <c r="X2" s="30" t="s">
        <v>574</v>
      </c>
      <c r="Y2" s="30" t="s">
        <v>575</v>
      </c>
      <c r="Z2" s="30" t="s">
        <v>576</v>
      </c>
      <c r="AA2" s="30" t="s">
        <v>577</v>
      </c>
      <c r="AB2" s="66" t="s">
        <v>578</v>
      </c>
    </row>
    <row r="3" spans="1:28" ht="15" thickTop="1" x14ac:dyDescent="0.35">
      <c r="A3" s="29"/>
      <c r="B3" s="28"/>
      <c r="C3" s="28"/>
      <c r="D3" s="27"/>
      <c r="E3" s="28"/>
      <c r="F3" s="28"/>
      <c r="G3" s="28"/>
      <c r="H3" s="60"/>
      <c r="I3" s="28"/>
      <c r="J3" s="28"/>
      <c r="K3" s="28"/>
      <c r="L3" s="28"/>
      <c r="M3" s="28"/>
      <c r="N3" s="28"/>
      <c r="O3" s="28"/>
      <c r="P3" s="28"/>
      <c r="Q3" s="28"/>
      <c r="R3" s="28"/>
      <c r="S3" s="28"/>
      <c r="T3" s="28"/>
      <c r="U3" s="28"/>
      <c r="V3" s="28"/>
      <c r="W3" s="28"/>
      <c r="X3" s="28"/>
      <c r="Y3" s="28"/>
      <c r="Z3" s="28"/>
      <c r="AA3" s="28"/>
      <c r="AB3" s="65"/>
    </row>
    <row r="4" spans="1:28" x14ac:dyDescent="0.35">
      <c r="A4" s="23" t="s">
        <v>647</v>
      </c>
      <c r="B4" s="22" t="s">
        <v>648</v>
      </c>
      <c r="C4" s="22">
        <v>465</v>
      </c>
      <c r="D4" s="21">
        <f t="shared" ref="D4:G10" si="0">C4+($H4-$C4)/5</f>
        <v>441.4</v>
      </c>
      <c r="E4" s="21">
        <f t="shared" si="0"/>
        <v>417.79999999999995</v>
      </c>
      <c r="F4" s="21">
        <f t="shared" si="0"/>
        <v>394.19999999999993</v>
      </c>
      <c r="G4" s="21">
        <f t="shared" si="0"/>
        <v>370.59999999999991</v>
      </c>
      <c r="H4" s="63">
        <v>347</v>
      </c>
      <c r="I4" s="21">
        <f t="shared" ref="I4:L10" si="1">H4+($M4-$H4)/5</f>
        <v>329</v>
      </c>
      <c r="J4" s="21">
        <f t="shared" si="1"/>
        <v>311</v>
      </c>
      <c r="K4" s="21">
        <f t="shared" si="1"/>
        <v>293</v>
      </c>
      <c r="L4" s="21">
        <f t="shared" si="1"/>
        <v>275</v>
      </c>
      <c r="M4" s="21">
        <v>257</v>
      </c>
      <c r="N4" s="21">
        <f t="shared" ref="N4:Q10" si="2">M4+($R4-$M4)/5</f>
        <v>248.8</v>
      </c>
      <c r="O4" s="21">
        <f t="shared" si="2"/>
        <v>240.60000000000002</v>
      </c>
      <c r="P4" s="21">
        <f t="shared" si="2"/>
        <v>232.40000000000003</v>
      </c>
      <c r="Q4" s="21">
        <f t="shared" si="2"/>
        <v>224.20000000000005</v>
      </c>
      <c r="R4" s="22">
        <v>216</v>
      </c>
      <c r="S4" s="21">
        <f t="shared" ref="S4:V10" si="3">R4+($W4-$R4)/5</f>
        <v>207.6</v>
      </c>
      <c r="T4" s="21">
        <f t="shared" si="3"/>
        <v>199.2</v>
      </c>
      <c r="U4" s="21">
        <f t="shared" si="3"/>
        <v>190.79999999999998</v>
      </c>
      <c r="V4" s="21">
        <f t="shared" si="3"/>
        <v>182.39999999999998</v>
      </c>
      <c r="W4" s="21">
        <v>174</v>
      </c>
      <c r="X4" s="21">
        <f t="shared" ref="X4:AA10" si="4">W4+($AB4-$W4)/5</f>
        <v>164.6</v>
      </c>
      <c r="Y4" s="21">
        <f t="shared" si="4"/>
        <v>155.19999999999999</v>
      </c>
      <c r="Z4" s="21">
        <f t="shared" si="4"/>
        <v>145.79999999999998</v>
      </c>
      <c r="AA4" s="21">
        <f t="shared" si="4"/>
        <v>136.39999999999998</v>
      </c>
      <c r="AB4" s="63">
        <v>127</v>
      </c>
    </row>
    <row r="5" spans="1:28" x14ac:dyDescent="0.35">
      <c r="A5" s="26"/>
      <c r="B5" s="25" t="s">
        <v>649</v>
      </c>
      <c r="C5" s="25">
        <v>489</v>
      </c>
      <c r="D5" s="24">
        <f t="shared" si="0"/>
        <v>469.6</v>
      </c>
      <c r="E5" s="24">
        <f t="shared" si="0"/>
        <v>450.20000000000005</v>
      </c>
      <c r="F5" s="24">
        <f t="shared" si="0"/>
        <v>430.80000000000007</v>
      </c>
      <c r="G5" s="24">
        <f t="shared" si="0"/>
        <v>411.40000000000009</v>
      </c>
      <c r="H5" s="61">
        <v>392</v>
      </c>
      <c r="I5" s="24">
        <f t="shared" si="1"/>
        <v>356.8</v>
      </c>
      <c r="J5" s="24">
        <f t="shared" si="1"/>
        <v>321.60000000000002</v>
      </c>
      <c r="K5" s="24">
        <f t="shared" si="1"/>
        <v>286.40000000000003</v>
      </c>
      <c r="L5" s="24">
        <f t="shared" si="1"/>
        <v>251.20000000000005</v>
      </c>
      <c r="M5" s="24">
        <v>216</v>
      </c>
      <c r="N5" s="24">
        <f t="shared" si="2"/>
        <v>193.8</v>
      </c>
      <c r="O5" s="24">
        <f t="shared" si="2"/>
        <v>171.60000000000002</v>
      </c>
      <c r="P5" s="24">
        <f t="shared" si="2"/>
        <v>149.40000000000003</v>
      </c>
      <c r="Q5" s="24">
        <f t="shared" si="2"/>
        <v>127.20000000000003</v>
      </c>
      <c r="R5" s="25">
        <v>105</v>
      </c>
      <c r="S5" s="24">
        <f t="shared" si="3"/>
        <v>97.6</v>
      </c>
      <c r="T5" s="24">
        <f t="shared" si="3"/>
        <v>90.199999999999989</v>
      </c>
      <c r="U5" s="24">
        <f t="shared" si="3"/>
        <v>82.799999999999983</v>
      </c>
      <c r="V5" s="24">
        <f t="shared" si="3"/>
        <v>75.399999999999977</v>
      </c>
      <c r="W5" s="24">
        <v>68</v>
      </c>
      <c r="X5" s="24">
        <f t="shared" si="4"/>
        <v>63.6</v>
      </c>
      <c r="Y5" s="24">
        <f t="shared" si="4"/>
        <v>59.2</v>
      </c>
      <c r="Z5" s="24">
        <f t="shared" si="4"/>
        <v>54.800000000000004</v>
      </c>
      <c r="AA5" s="24">
        <f t="shared" si="4"/>
        <v>50.400000000000006</v>
      </c>
      <c r="AB5" s="61">
        <v>46</v>
      </c>
    </row>
    <row r="6" spans="1:28" x14ac:dyDescent="0.35">
      <c r="A6" s="23"/>
      <c r="B6" s="22" t="s">
        <v>650</v>
      </c>
      <c r="C6" s="22">
        <v>487</v>
      </c>
      <c r="D6" s="21">
        <f t="shared" si="0"/>
        <v>464.4</v>
      </c>
      <c r="E6" s="21">
        <f t="shared" si="0"/>
        <v>441.79999999999995</v>
      </c>
      <c r="F6" s="21">
        <f t="shared" si="0"/>
        <v>419.19999999999993</v>
      </c>
      <c r="G6" s="21">
        <f t="shared" si="0"/>
        <v>396.59999999999991</v>
      </c>
      <c r="H6" s="63">
        <v>374</v>
      </c>
      <c r="I6" s="21">
        <f t="shared" si="1"/>
        <v>350.6</v>
      </c>
      <c r="J6" s="21">
        <f t="shared" si="1"/>
        <v>327.20000000000005</v>
      </c>
      <c r="K6" s="21">
        <f t="shared" si="1"/>
        <v>303.80000000000007</v>
      </c>
      <c r="L6" s="21">
        <f t="shared" si="1"/>
        <v>280.40000000000009</v>
      </c>
      <c r="M6" s="21">
        <v>257</v>
      </c>
      <c r="N6" s="21">
        <f t="shared" si="2"/>
        <v>245</v>
      </c>
      <c r="O6" s="21">
        <f t="shared" si="2"/>
        <v>233</v>
      </c>
      <c r="P6" s="21">
        <f t="shared" si="2"/>
        <v>221</v>
      </c>
      <c r="Q6" s="21">
        <f t="shared" si="2"/>
        <v>209</v>
      </c>
      <c r="R6" s="22">
        <v>197</v>
      </c>
      <c r="S6" s="21">
        <f t="shared" si="3"/>
        <v>187</v>
      </c>
      <c r="T6" s="21">
        <f t="shared" si="3"/>
        <v>177</v>
      </c>
      <c r="U6" s="21">
        <f t="shared" si="3"/>
        <v>167</v>
      </c>
      <c r="V6" s="21">
        <f t="shared" si="3"/>
        <v>157</v>
      </c>
      <c r="W6" s="21">
        <v>147</v>
      </c>
      <c r="X6" s="21">
        <f t="shared" si="4"/>
        <v>139.6</v>
      </c>
      <c r="Y6" s="21">
        <f t="shared" si="4"/>
        <v>132.19999999999999</v>
      </c>
      <c r="Z6" s="21">
        <f t="shared" si="4"/>
        <v>124.79999999999998</v>
      </c>
      <c r="AA6" s="21">
        <f t="shared" si="4"/>
        <v>117.39999999999998</v>
      </c>
      <c r="AB6" s="63">
        <v>110</v>
      </c>
    </row>
    <row r="7" spans="1:28" x14ac:dyDescent="0.35">
      <c r="A7" s="26"/>
      <c r="B7" s="25" t="s">
        <v>651</v>
      </c>
      <c r="C7" s="25">
        <v>246</v>
      </c>
      <c r="D7" s="24">
        <f t="shared" si="0"/>
        <v>230.4</v>
      </c>
      <c r="E7" s="24">
        <f t="shared" si="0"/>
        <v>214.8</v>
      </c>
      <c r="F7" s="24">
        <f t="shared" si="0"/>
        <v>199.20000000000002</v>
      </c>
      <c r="G7" s="24">
        <f t="shared" si="0"/>
        <v>183.60000000000002</v>
      </c>
      <c r="H7" s="61">
        <v>168</v>
      </c>
      <c r="I7" s="24">
        <f t="shared" si="1"/>
        <v>144.19999999999999</v>
      </c>
      <c r="J7" s="24">
        <f t="shared" si="1"/>
        <v>120.39999999999999</v>
      </c>
      <c r="K7" s="24">
        <f t="shared" si="1"/>
        <v>96.6</v>
      </c>
      <c r="L7" s="24">
        <f t="shared" si="1"/>
        <v>72.8</v>
      </c>
      <c r="M7" s="24">
        <v>49</v>
      </c>
      <c r="N7" s="24">
        <f t="shared" si="2"/>
        <v>39.6</v>
      </c>
      <c r="O7" s="24">
        <f t="shared" si="2"/>
        <v>30.200000000000003</v>
      </c>
      <c r="P7" s="24">
        <f t="shared" si="2"/>
        <v>20.800000000000004</v>
      </c>
      <c r="Q7" s="24">
        <f t="shared" si="2"/>
        <v>11.400000000000004</v>
      </c>
      <c r="R7" s="25">
        <v>2</v>
      </c>
      <c r="S7" s="24">
        <f t="shared" si="3"/>
        <v>1.4</v>
      </c>
      <c r="T7" s="24">
        <f t="shared" si="3"/>
        <v>0.79999999999999993</v>
      </c>
      <c r="U7" s="24">
        <f t="shared" si="3"/>
        <v>0.19999999999999996</v>
      </c>
      <c r="V7" s="24">
        <f t="shared" si="3"/>
        <v>-0.4</v>
      </c>
      <c r="W7" s="24">
        <v>-1</v>
      </c>
      <c r="X7" s="24">
        <f t="shared" si="4"/>
        <v>-1.6</v>
      </c>
      <c r="Y7" s="24">
        <f t="shared" si="4"/>
        <v>-2.2000000000000002</v>
      </c>
      <c r="Z7" s="24">
        <f t="shared" si="4"/>
        <v>-2.8000000000000003</v>
      </c>
      <c r="AA7" s="24">
        <f t="shared" si="4"/>
        <v>-3.4000000000000004</v>
      </c>
      <c r="AB7" s="61">
        <v>-4</v>
      </c>
    </row>
    <row r="8" spans="1:28" x14ac:dyDescent="0.35">
      <c r="A8" s="23"/>
      <c r="B8" s="22" t="s">
        <v>652</v>
      </c>
      <c r="C8" s="22">
        <v>348</v>
      </c>
      <c r="D8" s="21">
        <f t="shared" si="0"/>
        <v>343.6</v>
      </c>
      <c r="E8" s="21">
        <f t="shared" si="0"/>
        <v>339.20000000000005</v>
      </c>
      <c r="F8" s="21">
        <f t="shared" si="0"/>
        <v>334.80000000000007</v>
      </c>
      <c r="G8" s="21">
        <f t="shared" si="0"/>
        <v>330.40000000000009</v>
      </c>
      <c r="H8" s="63">
        <v>326</v>
      </c>
      <c r="I8" s="21">
        <f t="shared" si="1"/>
        <v>315.2</v>
      </c>
      <c r="J8" s="21">
        <f t="shared" si="1"/>
        <v>304.39999999999998</v>
      </c>
      <c r="K8" s="21">
        <f t="shared" si="1"/>
        <v>293.59999999999997</v>
      </c>
      <c r="L8" s="21">
        <f t="shared" si="1"/>
        <v>282.79999999999995</v>
      </c>
      <c r="M8" s="21">
        <v>272</v>
      </c>
      <c r="N8" s="21">
        <f t="shared" si="2"/>
        <v>263.8</v>
      </c>
      <c r="O8" s="21">
        <f t="shared" si="2"/>
        <v>255.60000000000002</v>
      </c>
      <c r="P8" s="21">
        <f t="shared" si="2"/>
        <v>247.40000000000003</v>
      </c>
      <c r="Q8" s="21">
        <f t="shared" si="2"/>
        <v>239.20000000000005</v>
      </c>
      <c r="R8" s="22">
        <v>231</v>
      </c>
      <c r="S8" s="21">
        <f t="shared" si="3"/>
        <v>223.8</v>
      </c>
      <c r="T8" s="21">
        <f t="shared" si="3"/>
        <v>216.60000000000002</v>
      </c>
      <c r="U8" s="21">
        <f t="shared" si="3"/>
        <v>209.40000000000003</v>
      </c>
      <c r="V8" s="21">
        <f t="shared" si="3"/>
        <v>202.20000000000005</v>
      </c>
      <c r="W8" s="21">
        <v>195</v>
      </c>
      <c r="X8" s="21">
        <f t="shared" si="4"/>
        <v>188</v>
      </c>
      <c r="Y8" s="21">
        <f t="shared" si="4"/>
        <v>181</v>
      </c>
      <c r="Z8" s="21">
        <f t="shared" si="4"/>
        <v>174</v>
      </c>
      <c r="AA8" s="21">
        <f t="shared" si="4"/>
        <v>167</v>
      </c>
      <c r="AB8" s="63">
        <v>160</v>
      </c>
    </row>
    <row r="9" spans="1:28" x14ac:dyDescent="0.35">
      <c r="A9" s="26"/>
      <c r="B9" s="25" t="s">
        <v>653</v>
      </c>
      <c r="C9" s="25">
        <v>175</v>
      </c>
      <c r="D9" s="24">
        <f t="shared" si="0"/>
        <v>158.4</v>
      </c>
      <c r="E9" s="24">
        <f t="shared" si="0"/>
        <v>141.80000000000001</v>
      </c>
      <c r="F9" s="24">
        <f t="shared" si="0"/>
        <v>125.20000000000002</v>
      </c>
      <c r="G9" s="24">
        <f t="shared" si="0"/>
        <v>108.60000000000002</v>
      </c>
      <c r="H9" s="61">
        <v>92</v>
      </c>
      <c r="I9" s="24">
        <f t="shared" si="1"/>
        <v>83.4</v>
      </c>
      <c r="J9" s="24">
        <f t="shared" si="1"/>
        <v>74.800000000000011</v>
      </c>
      <c r="K9" s="24">
        <f t="shared" si="1"/>
        <v>66.200000000000017</v>
      </c>
      <c r="L9" s="24">
        <f t="shared" si="1"/>
        <v>57.600000000000016</v>
      </c>
      <c r="M9" s="24">
        <v>49</v>
      </c>
      <c r="N9" s="24">
        <f t="shared" si="2"/>
        <v>45.4</v>
      </c>
      <c r="O9" s="24">
        <f t="shared" si="2"/>
        <v>41.8</v>
      </c>
      <c r="P9" s="24">
        <f t="shared" si="2"/>
        <v>38.199999999999996</v>
      </c>
      <c r="Q9" s="24">
        <f t="shared" si="2"/>
        <v>34.599999999999994</v>
      </c>
      <c r="R9" s="25">
        <v>31</v>
      </c>
      <c r="S9" s="24">
        <f t="shared" si="3"/>
        <v>28.6</v>
      </c>
      <c r="T9" s="24">
        <f t="shared" si="3"/>
        <v>26.200000000000003</v>
      </c>
      <c r="U9" s="24">
        <f t="shared" si="3"/>
        <v>23.800000000000004</v>
      </c>
      <c r="V9" s="24">
        <f t="shared" si="3"/>
        <v>21.400000000000006</v>
      </c>
      <c r="W9" s="24">
        <v>19</v>
      </c>
      <c r="X9" s="24">
        <f t="shared" si="4"/>
        <v>17.600000000000001</v>
      </c>
      <c r="Y9" s="24">
        <f t="shared" si="4"/>
        <v>16.200000000000003</v>
      </c>
      <c r="Z9" s="24">
        <f t="shared" si="4"/>
        <v>14.800000000000002</v>
      </c>
      <c r="AA9" s="24">
        <f t="shared" si="4"/>
        <v>13.400000000000002</v>
      </c>
      <c r="AB9" s="61">
        <v>12</v>
      </c>
    </row>
    <row r="10" spans="1:28" x14ac:dyDescent="0.35">
      <c r="A10" s="23"/>
      <c r="B10" s="22" t="s">
        <v>654</v>
      </c>
      <c r="C10" s="22">
        <v>184</v>
      </c>
      <c r="D10" s="21">
        <f t="shared" si="0"/>
        <v>182.6</v>
      </c>
      <c r="E10" s="21">
        <f t="shared" si="0"/>
        <v>181.2</v>
      </c>
      <c r="F10" s="21">
        <f t="shared" si="0"/>
        <v>179.79999999999998</v>
      </c>
      <c r="G10" s="21">
        <f t="shared" si="0"/>
        <v>178.39999999999998</v>
      </c>
      <c r="H10" s="63">
        <v>177</v>
      </c>
      <c r="I10" s="21">
        <f t="shared" si="1"/>
        <v>168.6</v>
      </c>
      <c r="J10" s="21">
        <f t="shared" si="1"/>
        <v>160.19999999999999</v>
      </c>
      <c r="K10" s="21">
        <f t="shared" si="1"/>
        <v>151.79999999999998</v>
      </c>
      <c r="L10" s="21">
        <f t="shared" si="1"/>
        <v>143.39999999999998</v>
      </c>
      <c r="M10" s="21">
        <v>135</v>
      </c>
      <c r="N10" s="21">
        <f t="shared" si="2"/>
        <v>125.6</v>
      </c>
      <c r="O10" s="21">
        <f t="shared" si="2"/>
        <v>116.19999999999999</v>
      </c>
      <c r="P10" s="21">
        <f t="shared" si="2"/>
        <v>106.79999999999998</v>
      </c>
      <c r="Q10" s="21">
        <f t="shared" si="2"/>
        <v>97.399999999999977</v>
      </c>
      <c r="R10" s="22">
        <v>88</v>
      </c>
      <c r="S10" s="21">
        <f t="shared" si="3"/>
        <v>81.400000000000006</v>
      </c>
      <c r="T10" s="21">
        <f t="shared" si="3"/>
        <v>74.800000000000011</v>
      </c>
      <c r="U10" s="21">
        <f t="shared" si="3"/>
        <v>68.200000000000017</v>
      </c>
      <c r="V10" s="21">
        <f t="shared" si="3"/>
        <v>61.600000000000016</v>
      </c>
      <c r="W10" s="21">
        <v>55</v>
      </c>
      <c r="X10" s="21">
        <f t="shared" si="4"/>
        <v>51.4</v>
      </c>
      <c r="Y10" s="21">
        <f t="shared" si="4"/>
        <v>47.8</v>
      </c>
      <c r="Z10" s="21">
        <f t="shared" si="4"/>
        <v>44.199999999999996</v>
      </c>
      <c r="AA10" s="21">
        <f t="shared" si="4"/>
        <v>40.599999999999994</v>
      </c>
      <c r="AB10" s="63">
        <v>37</v>
      </c>
    </row>
    <row r="11" spans="1:28" x14ac:dyDescent="0.35">
      <c r="A11" s="26" t="s">
        <v>647</v>
      </c>
      <c r="B11" s="25" t="s">
        <v>546</v>
      </c>
      <c r="C11" s="24" t="s">
        <v>396</v>
      </c>
      <c r="D11" s="24" t="s">
        <v>396</v>
      </c>
      <c r="E11" s="25"/>
      <c r="F11" s="25"/>
      <c r="G11" s="25"/>
      <c r="H11" s="61">
        <f>SUMPRODUCT(H13:H19,H4:H10)/SUM(H13:H19)</f>
        <v>304.05616139585607</v>
      </c>
      <c r="I11" s="24">
        <f>SUMPRODUCT(I13:I19,I4:I10)/SUM(I13:I19)</f>
        <v>279.16051209004189</v>
      </c>
      <c r="J11" s="24">
        <f t="shared" ref="J11:AB11" si="5">SUMPRODUCT(J13:J19,J4:J10)/SUM(J13:J19)</f>
        <v>253.97934841384284</v>
      </c>
      <c r="K11" s="24">
        <f t="shared" si="5"/>
        <v>228.54174475170589</v>
      </c>
      <c r="L11" s="24">
        <f t="shared" si="5"/>
        <v>202.87295749742123</v>
      </c>
      <c r="M11" s="24">
        <f t="shared" si="5"/>
        <v>176.99503184713376</v>
      </c>
      <c r="N11" s="24">
        <f t="shared" si="5"/>
        <v>161.86188077328785</v>
      </c>
      <c r="O11" s="24">
        <f t="shared" si="5"/>
        <v>146.5686918252203</v>
      </c>
      <c r="P11" s="24">
        <f t="shared" si="5"/>
        <v>131.13018017601169</v>
      </c>
      <c r="Q11" s="24">
        <f t="shared" si="5"/>
        <v>115.55931060490431</v>
      </c>
      <c r="R11" s="25">
        <f t="shared" si="5"/>
        <v>99.8675502463269</v>
      </c>
      <c r="S11" s="24">
        <f t="shared" si="5"/>
        <v>94.214595788043454</v>
      </c>
      <c r="T11" s="24">
        <f t="shared" si="5"/>
        <v>88.472191004262001</v>
      </c>
      <c r="U11" s="24">
        <f t="shared" si="5"/>
        <v>82.64699539988699</v>
      </c>
      <c r="V11" s="24">
        <f t="shared" si="5"/>
        <v>76.745023427963943</v>
      </c>
      <c r="W11" s="24">
        <f t="shared" si="5"/>
        <v>70.771720744271875</v>
      </c>
      <c r="X11" s="24">
        <f t="shared" si="5"/>
        <v>66.943686325965828</v>
      </c>
      <c r="Y11" s="24">
        <f t="shared" si="5"/>
        <v>63.061684842924571</v>
      </c>
      <c r="Z11" s="24">
        <f t="shared" si="5"/>
        <v>59.128713137313269</v>
      </c>
      <c r="AA11" s="24">
        <f t="shared" si="5"/>
        <v>55.147550193931096</v>
      </c>
      <c r="AB11" s="61">
        <f t="shared" si="5"/>
        <v>51.120776583452958</v>
      </c>
    </row>
    <row r="12" spans="1:28" x14ac:dyDescent="0.35">
      <c r="A12" s="23"/>
      <c r="B12" s="22"/>
      <c r="C12" s="22"/>
      <c r="D12" s="21"/>
      <c r="E12" s="22"/>
      <c r="F12" s="22"/>
      <c r="G12" s="22"/>
      <c r="H12" s="63"/>
      <c r="I12" s="21"/>
      <c r="J12" s="21"/>
      <c r="K12" s="21"/>
      <c r="L12" s="21"/>
      <c r="M12" s="21"/>
      <c r="N12" s="21"/>
      <c r="O12" s="21"/>
      <c r="P12" s="21"/>
      <c r="Q12" s="21"/>
      <c r="R12" s="22"/>
      <c r="S12" s="21"/>
      <c r="T12" s="21"/>
      <c r="U12" s="21"/>
      <c r="V12" s="21"/>
      <c r="W12" s="21"/>
      <c r="X12" s="21"/>
      <c r="Y12" s="21"/>
      <c r="Z12" s="21"/>
      <c r="AA12" s="21"/>
      <c r="AB12" s="63"/>
    </row>
    <row r="13" spans="1:28" x14ac:dyDescent="0.35">
      <c r="A13" s="26" t="s">
        <v>655</v>
      </c>
      <c r="B13" s="25" t="s">
        <v>648</v>
      </c>
      <c r="C13" s="25"/>
      <c r="D13" s="24"/>
      <c r="E13" s="25"/>
      <c r="F13" s="25"/>
      <c r="G13" s="25"/>
      <c r="H13" s="61">
        <v>1680</v>
      </c>
      <c r="I13" s="24">
        <f t="shared" ref="I13:L19" si="6">H13+($M13-$H13)/5</f>
        <v>1751.4</v>
      </c>
      <c r="J13" s="24">
        <f t="shared" si="6"/>
        <v>1822.8000000000002</v>
      </c>
      <c r="K13" s="24">
        <f t="shared" si="6"/>
        <v>1894.2000000000003</v>
      </c>
      <c r="L13" s="24">
        <f t="shared" si="6"/>
        <v>1965.6000000000004</v>
      </c>
      <c r="M13" s="24">
        <v>2037</v>
      </c>
      <c r="N13" s="24">
        <f t="shared" ref="N13:Q19" si="7">M13+($R13-$M13)/5</f>
        <v>2102.8000000000002</v>
      </c>
      <c r="O13" s="24">
        <f t="shared" si="7"/>
        <v>2168.6000000000004</v>
      </c>
      <c r="P13" s="24">
        <f t="shared" si="7"/>
        <v>2234.4000000000005</v>
      </c>
      <c r="Q13" s="24">
        <f t="shared" si="7"/>
        <v>2300.2000000000007</v>
      </c>
      <c r="R13" s="25">
        <v>2366</v>
      </c>
      <c r="S13" s="24">
        <f t="shared" ref="S13:V19" si="8">R13+($W13-$R13)/5</f>
        <v>2432</v>
      </c>
      <c r="T13" s="24">
        <f t="shared" si="8"/>
        <v>2498</v>
      </c>
      <c r="U13" s="24">
        <f t="shared" si="8"/>
        <v>2564</v>
      </c>
      <c r="V13" s="24">
        <f t="shared" si="8"/>
        <v>2630</v>
      </c>
      <c r="W13" s="24">
        <v>2696</v>
      </c>
      <c r="X13" s="24">
        <f t="shared" ref="X13:AA19" si="9">W13+($AB13-$W13)/5</f>
        <v>2756.6</v>
      </c>
      <c r="Y13" s="24">
        <f t="shared" si="9"/>
        <v>2817.2</v>
      </c>
      <c r="Z13" s="24">
        <f t="shared" si="9"/>
        <v>2877.7999999999997</v>
      </c>
      <c r="AA13" s="24">
        <f t="shared" si="9"/>
        <v>2938.3999999999996</v>
      </c>
      <c r="AB13" s="61">
        <v>2999</v>
      </c>
    </row>
    <row r="14" spans="1:28" x14ac:dyDescent="0.35">
      <c r="A14" s="23"/>
      <c r="B14" s="22" t="s">
        <v>649</v>
      </c>
      <c r="C14" s="22"/>
      <c r="D14" s="21"/>
      <c r="E14" s="22"/>
      <c r="F14" s="22"/>
      <c r="G14" s="22"/>
      <c r="H14" s="63">
        <v>17590</v>
      </c>
      <c r="I14" s="21">
        <f t="shared" si="6"/>
        <v>18402.599999999999</v>
      </c>
      <c r="J14" s="21">
        <f t="shared" si="6"/>
        <v>19215.199999999997</v>
      </c>
      <c r="K14" s="21">
        <f t="shared" si="6"/>
        <v>20027.799999999996</v>
      </c>
      <c r="L14" s="21">
        <f t="shared" si="6"/>
        <v>20840.399999999994</v>
      </c>
      <c r="M14" s="21">
        <v>21653</v>
      </c>
      <c r="N14" s="21">
        <f t="shared" si="7"/>
        <v>22503.4</v>
      </c>
      <c r="O14" s="21">
        <f t="shared" si="7"/>
        <v>23353.800000000003</v>
      </c>
      <c r="P14" s="21">
        <f t="shared" si="7"/>
        <v>24204.200000000004</v>
      </c>
      <c r="Q14" s="21">
        <f t="shared" si="7"/>
        <v>25054.600000000006</v>
      </c>
      <c r="R14" s="22">
        <v>25905</v>
      </c>
      <c r="S14" s="21">
        <f t="shared" si="8"/>
        <v>26711.200000000001</v>
      </c>
      <c r="T14" s="21">
        <f t="shared" si="8"/>
        <v>27517.4</v>
      </c>
      <c r="U14" s="21">
        <f t="shared" si="8"/>
        <v>28323.600000000002</v>
      </c>
      <c r="V14" s="21">
        <f t="shared" si="8"/>
        <v>29129.800000000003</v>
      </c>
      <c r="W14" s="21">
        <v>29936</v>
      </c>
      <c r="X14" s="21">
        <f t="shared" si="9"/>
        <v>30568.400000000001</v>
      </c>
      <c r="Y14" s="21">
        <f t="shared" si="9"/>
        <v>31200.800000000003</v>
      </c>
      <c r="Z14" s="21">
        <f t="shared" si="9"/>
        <v>31833.200000000004</v>
      </c>
      <c r="AA14" s="21">
        <f t="shared" si="9"/>
        <v>32465.600000000006</v>
      </c>
      <c r="AB14" s="63">
        <v>33098</v>
      </c>
    </row>
    <row r="15" spans="1:28" x14ac:dyDescent="0.35">
      <c r="A15" s="26"/>
      <c r="B15" s="25" t="s">
        <v>650</v>
      </c>
      <c r="C15" s="25"/>
      <c r="D15" s="24"/>
      <c r="E15" s="25"/>
      <c r="F15" s="25"/>
      <c r="G15" s="25"/>
      <c r="H15" s="61">
        <v>1311</v>
      </c>
      <c r="I15" s="24">
        <f t="shared" si="6"/>
        <v>1438</v>
      </c>
      <c r="J15" s="24">
        <f t="shared" si="6"/>
        <v>1565</v>
      </c>
      <c r="K15" s="24">
        <f t="shared" si="6"/>
        <v>1692</v>
      </c>
      <c r="L15" s="24">
        <f t="shared" si="6"/>
        <v>1819</v>
      </c>
      <c r="M15" s="24">
        <v>1946</v>
      </c>
      <c r="N15" s="24">
        <f t="shared" si="7"/>
        <v>2109</v>
      </c>
      <c r="O15" s="24">
        <f t="shared" si="7"/>
        <v>2272</v>
      </c>
      <c r="P15" s="24">
        <f t="shared" si="7"/>
        <v>2435</v>
      </c>
      <c r="Q15" s="24">
        <f t="shared" si="7"/>
        <v>2598</v>
      </c>
      <c r="R15" s="25">
        <v>2761</v>
      </c>
      <c r="S15" s="24">
        <f t="shared" si="8"/>
        <v>2951.4</v>
      </c>
      <c r="T15" s="24">
        <f t="shared" si="8"/>
        <v>3141.8</v>
      </c>
      <c r="U15" s="24">
        <f t="shared" si="8"/>
        <v>3332.2000000000003</v>
      </c>
      <c r="V15" s="24">
        <f t="shared" si="8"/>
        <v>3522.6000000000004</v>
      </c>
      <c r="W15" s="24">
        <v>3713</v>
      </c>
      <c r="X15" s="24">
        <f t="shared" si="9"/>
        <v>3932.2</v>
      </c>
      <c r="Y15" s="24">
        <f t="shared" si="9"/>
        <v>4151.3999999999996</v>
      </c>
      <c r="Z15" s="24">
        <f t="shared" si="9"/>
        <v>4370.5999999999995</v>
      </c>
      <c r="AA15" s="24">
        <f t="shared" si="9"/>
        <v>4589.7999999999993</v>
      </c>
      <c r="AB15" s="61">
        <v>4809</v>
      </c>
    </row>
    <row r="16" spans="1:28" x14ac:dyDescent="0.35">
      <c r="A16" s="23"/>
      <c r="B16" s="22" t="s">
        <v>651</v>
      </c>
      <c r="C16" s="22"/>
      <c r="D16" s="21"/>
      <c r="E16" s="22"/>
      <c r="F16" s="22"/>
      <c r="G16" s="22"/>
      <c r="H16" s="63">
        <v>5389</v>
      </c>
      <c r="I16" s="21">
        <f t="shared" si="6"/>
        <v>5464.6</v>
      </c>
      <c r="J16" s="21">
        <f t="shared" si="6"/>
        <v>5540.2000000000007</v>
      </c>
      <c r="K16" s="21">
        <f t="shared" si="6"/>
        <v>5615.8000000000011</v>
      </c>
      <c r="L16" s="21">
        <f t="shared" si="6"/>
        <v>5691.4000000000015</v>
      </c>
      <c r="M16" s="21">
        <v>5767</v>
      </c>
      <c r="N16" s="21">
        <f t="shared" si="7"/>
        <v>5870.8</v>
      </c>
      <c r="O16" s="21">
        <f t="shared" si="7"/>
        <v>5974.6</v>
      </c>
      <c r="P16" s="21">
        <f t="shared" si="7"/>
        <v>6078.4000000000005</v>
      </c>
      <c r="Q16" s="21">
        <f t="shared" si="7"/>
        <v>6182.2000000000007</v>
      </c>
      <c r="R16" s="22">
        <v>6286</v>
      </c>
      <c r="S16" s="21">
        <f t="shared" si="8"/>
        <v>6345.6</v>
      </c>
      <c r="T16" s="21">
        <f t="shared" si="8"/>
        <v>6405.2000000000007</v>
      </c>
      <c r="U16" s="21">
        <f t="shared" si="8"/>
        <v>6464.8000000000011</v>
      </c>
      <c r="V16" s="21">
        <f t="shared" si="8"/>
        <v>6524.4000000000015</v>
      </c>
      <c r="W16" s="21">
        <v>6584</v>
      </c>
      <c r="X16" s="21">
        <f t="shared" si="9"/>
        <v>6607.2</v>
      </c>
      <c r="Y16" s="21">
        <f t="shared" si="9"/>
        <v>6630.4</v>
      </c>
      <c r="Z16" s="21">
        <f t="shared" si="9"/>
        <v>6653.5999999999995</v>
      </c>
      <c r="AA16" s="21">
        <f t="shared" si="9"/>
        <v>6676.7999999999993</v>
      </c>
      <c r="AB16" s="63">
        <v>6700</v>
      </c>
    </row>
    <row r="17" spans="1:28" x14ac:dyDescent="0.35">
      <c r="A17" s="26"/>
      <c r="B17" s="25" t="s">
        <v>652</v>
      </c>
      <c r="C17" s="25"/>
      <c r="D17" s="24"/>
      <c r="E17" s="25"/>
      <c r="F17" s="25"/>
      <c r="G17" s="25"/>
      <c r="H17" s="61">
        <v>1508</v>
      </c>
      <c r="I17" s="24">
        <f t="shared" si="6"/>
        <v>1552.4</v>
      </c>
      <c r="J17" s="24">
        <f t="shared" si="6"/>
        <v>1596.8000000000002</v>
      </c>
      <c r="K17" s="24">
        <f t="shared" si="6"/>
        <v>1641.2000000000003</v>
      </c>
      <c r="L17" s="24">
        <f t="shared" si="6"/>
        <v>1685.6000000000004</v>
      </c>
      <c r="M17" s="24">
        <v>1730</v>
      </c>
      <c r="N17" s="24">
        <f t="shared" si="7"/>
        <v>1765.8</v>
      </c>
      <c r="O17" s="24">
        <f t="shared" si="7"/>
        <v>1801.6</v>
      </c>
      <c r="P17" s="24">
        <f t="shared" si="7"/>
        <v>1837.3999999999999</v>
      </c>
      <c r="Q17" s="24">
        <f t="shared" si="7"/>
        <v>1873.1999999999998</v>
      </c>
      <c r="R17" s="25">
        <v>1909</v>
      </c>
      <c r="S17" s="24">
        <f t="shared" si="8"/>
        <v>1937.8</v>
      </c>
      <c r="T17" s="24">
        <f t="shared" si="8"/>
        <v>1966.6</v>
      </c>
      <c r="U17" s="24">
        <f t="shared" si="8"/>
        <v>1995.3999999999999</v>
      </c>
      <c r="V17" s="24">
        <f t="shared" si="8"/>
        <v>2024.1999999999998</v>
      </c>
      <c r="W17" s="24">
        <v>2053</v>
      </c>
      <c r="X17" s="24">
        <f t="shared" si="9"/>
        <v>2076.6</v>
      </c>
      <c r="Y17" s="24">
        <f t="shared" si="9"/>
        <v>2100.1999999999998</v>
      </c>
      <c r="Z17" s="24">
        <f t="shared" si="9"/>
        <v>2123.7999999999997</v>
      </c>
      <c r="AA17" s="24">
        <f t="shared" si="9"/>
        <v>2147.3999999999996</v>
      </c>
      <c r="AB17" s="61">
        <v>2171</v>
      </c>
    </row>
    <row r="18" spans="1:28" x14ac:dyDescent="0.35">
      <c r="A18" s="23"/>
      <c r="B18" s="22" t="s">
        <v>653</v>
      </c>
      <c r="C18" s="22"/>
      <c r="D18" s="21"/>
      <c r="E18" s="22"/>
      <c r="F18" s="22"/>
      <c r="G18" s="22"/>
      <c r="H18" s="63">
        <v>3618</v>
      </c>
      <c r="I18" s="21">
        <f t="shared" si="6"/>
        <v>3667.8</v>
      </c>
      <c r="J18" s="21">
        <f t="shared" si="6"/>
        <v>3717.6000000000004</v>
      </c>
      <c r="K18" s="21">
        <f t="shared" si="6"/>
        <v>3767.4000000000005</v>
      </c>
      <c r="L18" s="21">
        <f t="shared" si="6"/>
        <v>3817.2000000000007</v>
      </c>
      <c r="M18" s="21">
        <v>3867</v>
      </c>
      <c r="N18" s="21">
        <f t="shared" si="7"/>
        <v>3908.2</v>
      </c>
      <c r="O18" s="21">
        <f t="shared" si="7"/>
        <v>3949.3999999999996</v>
      </c>
      <c r="P18" s="21">
        <f t="shared" si="7"/>
        <v>3990.5999999999995</v>
      </c>
      <c r="Q18" s="21">
        <f t="shared" si="7"/>
        <v>4031.7999999999993</v>
      </c>
      <c r="R18" s="22">
        <v>4073</v>
      </c>
      <c r="S18" s="21">
        <f t="shared" si="8"/>
        <v>4090.6</v>
      </c>
      <c r="T18" s="21">
        <f t="shared" si="8"/>
        <v>4108.2</v>
      </c>
      <c r="U18" s="21">
        <f t="shared" si="8"/>
        <v>4125.8</v>
      </c>
      <c r="V18" s="21">
        <f t="shared" si="8"/>
        <v>4143.4000000000005</v>
      </c>
      <c r="W18" s="21">
        <v>4161</v>
      </c>
      <c r="X18" s="21">
        <f t="shared" si="9"/>
        <v>4165.3999999999996</v>
      </c>
      <c r="Y18" s="21">
        <f t="shared" si="9"/>
        <v>4169.7999999999993</v>
      </c>
      <c r="Z18" s="21">
        <f t="shared" si="9"/>
        <v>4174.1999999999989</v>
      </c>
      <c r="AA18" s="21">
        <f t="shared" si="9"/>
        <v>4178.5999999999985</v>
      </c>
      <c r="AB18" s="63">
        <v>4183</v>
      </c>
    </row>
    <row r="19" spans="1:28" x14ac:dyDescent="0.35">
      <c r="A19" s="26"/>
      <c r="B19" s="25" t="s">
        <v>654</v>
      </c>
      <c r="C19" s="243"/>
      <c r="D19" s="24"/>
      <c r="E19" s="25"/>
      <c r="F19" s="25"/>
      <c r="G19" s="25"/>
      <c r="H19" s="61">
        <v>1916</v>
      </c>
      <c r="I19" s="24">
        <f t="shared" si="6"/>
        <v>1982.8</v>
      </c>
      <c r="J19" s="24">
        <f t="shared" si="6"/>
        <v>2049.6</v>
      </c>
      <c r="K19" s="24">
        <f t="shared" si="6"/>
        <v>2116.4</v>
      </c>
      <c r="L19" s="24">
        <f t="shared" si="6"/>
        <v>2183.2000000000003</v>
      </c>
      <c r="M19" s="24">
        <v>2250</v>
      </c>
      <c r="N19" s="24">
        <f t="shared" si="7"/>
        <v>2314.8000000000002</v>
      </c>
      <c r="O19" s="24">
        <f t="shared" si="7"/>
        <v>2379.6000000000004</v>
      </c>
      <c r="P19" s="24">
        <f t="shared" si="7"/>
        <v>2444.4000000000005</v>
      </c>
      <c r="Q19" s="24">
        <f t="shared" si="7"/>
        <v>2509.2000000000007</v>
      </c>
      <c r="R19" s="25">
        <v>2574</v>
      </c>
      <c r="S19" s="24">
        <f t="shared" si="8"/>
        <v>2635.4</v>
      </c>
      <c r="T19" s="24">
        <f t="shared" si="8"/>
        <v>2696.8</v>
      </c>
      <c r="U19" s="24">
        <f t="shared" si="8"/>
        <v>2758.2000000000003</v>
      </c>
      <c r="V19" s="24">
        <f t="shared" si="8"/>
        <v>2819.6000000000004</v>
      </c>
      <c r="W19" s="24">
        <v>2881</v>
      </c>
      <c r="X19" s="24">
        <f t="shared" si="9"/>
        <v>2937.2</v>
      </c>
      <c r="Y19" s="24">
        <f t="shared" si="9"/>
        <v>2993.3999999999996</v>
      </c>
      <c r="Z19" s="24">
        <f t="shared" si="9"/>
        <v>3049.5999999999995</v>
      </c>
      <c r="AA19" s="24">
        <f t="shared" si="9"/>
        <v>3105.7999999999993</v>
      </c>
      <c r="AB19" s="61">
        <v>3162</v>
      </c>
    </row>
    <row r="20" spans="1:28" x14ac:dyDescent="0.35">
      <c r="A20" s="23"/>
      <c r="B20" s="22" t="s">
        <v>546</v>
      </c>
      <c r="C20" s="22"/>
      <c r="D20" s="21"/>
      <c r="E20" s="22"/>
      <c r="F20" s="22"/>
      <c r="G20" s="22"/>
      <c r="H20" s="63">
        <f t="shared" ref="H20:AB20" si="10">SUM(H13:H19)</f>
        <v>33012</v>
      </c>
      <c r="I20" s="21">
        <f t="shared" si="10"/>
        <v>34259.599999999999</v>
      </c>
      <c r="J20" s="21">
        <f t="shared" si="10"/>
        <v>35507.199999999997</v>
      </c>
      <c r="K20" s="21">
        <f t="shared" si="10"/>
        <v>36754.799999999996</v>
      </c>
      <c r="L20" s="21">
        <f t="shared" si="10"/>
        <v>38002.399999999994</v>
      </c>
      <c r="M20" s="21">
        <f t="shared" si="10"/>
        <v>39250</v>
      </c>
      <c r="N20" s="21">
        <f t="shared" si="10"/>
        <v>40574.800000000003</v>
      </c>
      <c r="O20" s="21">
        <f t="shared" si="10"/>
        <v>41899.599999999999</v>
      </c>
      <c r="P20" s="21">
        <f t="shared" si="10"/>
        <v>43224.400000000009</v>
      </c>
      <c r="Q20" s="21">
        <f t="shared" si="10"/>
        <v>44549.2</v>
      </c>
      <c r="R20" s="21">
        <f t="shared" si="10"/>
        <v>45874</v>
      </c>
      <c r="S20" s="21">
        <f t="shared" si="10"/>
        <v>47104.000000000007</v>
      </c>
      <c r="T20" s="21">
        <f t="shared" si="10"/>
        <v>48334.000000000007</v>
      </c>
      <c r="U20" s="21">
        <f t="shared" si="10"/>
        <v>49564.000000000007</v>
      </c>
      <c r="V20" s="21">
        <f t="shared" si="10"/>
        <v>50794</v>
      </c>
      <c r="W20" s="21">
        <f t="shared" si="10"/>
        <v>52024</v>
      </c>
      <c r="X20" s="21">
        <f t="shared" si="10"/>
        <v>53043.599999999991</v>
      </c>
      <c r="Y20" s="21">
        <f t="shared" si="10"/>
        <v>54063.200000000004</v>
      </c>
      <c r="Z20" s="21">
        <f t="shared" si="10"/>
        <v>55082.8</v>
      </c>
      <c r="AA20" s="21">
        <f t="shared" si="10"/>
        <v>56102.400000000009</v>
      </c>
      <c r="AB20" s="63">
        <f t="shared" si="10"/>
        <v>57122</v>
      </c>
    </row>
    <row r="21" spans="1:28" x14ac:dyDescent="0.35">
      <c r="A21" s="26"/>
      <c r="B21" s="25"/>
      <c r="C21" s="25"/>
      <c r="D21" s="24"/>
      <c r="E21" s="25"/>
      <c r="F21" s="25"/>
      <c r="G21" s="25"/>
      <c r="H21" s="58"/>
      <c r="I21" s="25"/>
      <c r="J21" s="25"/>
      <c r="K21" s="25"/>
      <c r="L21" s="25"/>
      <c r="M21" s="25"/>
      <c r="N21" s="25"/>
      <c r="O21" s="25"/>
      <c r="P21" s="25"/>
      <c r="Q21" s="25"/>
      <c r="R21" s="25"/>
      <c r="S21" s="25"/>
      <c r="T21" s="25"/>
      <c r="U21" s="25"/>
      <c r="V21" s="25"/>
      <c r="W21" s="25"/>
      <c r="X21" s="25"/>
      <c r="Y21" s="25"/>
      <c r="Z21" s="25"/>
      <c r="AA21" s="25"/>
      <c r="AB21" s="58"/>
    </row>
    <row r="22" spans="1:28" x14ac:dyDescent="0.35">
      <c r="A22" s="23"/>
      <c r="B22" s="22"/>
      <c r="C22" s="22"/>
      <c r="D22" s="21"/>
      <c r="E22" s="22"/>
      <c r="F22" s="22"/>
      <c r="G22" s="22"/>
      <c r="H22" s="64"/>
      <c r="I22" s="22"/>
      <c r="J22" s="22"/>
      <c r="K22" s="22"/>
      <c r="L22" s="22"/>
      <c r="M22" s="22"/>
      <c r="N22" s="22"/>
      <c r="O22" s="22"/>
      <c r="P22" s="22"/>
      <c r="Q22" s="22"/>
      <c r="R22" s="22"/>
      <c r="S22" s="22"/>
      <c r="T22" s="22"/>
      <c r="U22" s="22"/>
      <c r="V22" s="22"/>
      <c r="W22" s="22"/>
      <c r="X22" s="22"/>
      <c r="Y22" s="22"/>
      <c r="Z22" s="22"/>
      <c r="AA22" s="22"/>
      <c r="AB22" s="63"/>
    </row>
    <row r="23" spans="1:28" x14ac:dyDescent="0.35">
      <c r="A23" s="26"/>
      <c r="B23" s="25"/>
      <c r="C23" s="25"/>
      <c r="D23" s="24"/>
      <c r="E23" s="25"/>
      <c r="F23" s="25"/>
      <c r="G23" s="25"/>
      <c r="H23" s="58"/>
      <c r="I23" s="25"/>
      <c r="J23" s="25"/>
      <c r="K23" s="25"/>
      <c r="L23" s="25"/>
      <c r="M23" s="25"/>
      <c r="N23" s="25"/>
      <c r="O23" s="25"/>
      <c r="P23" s="25"/>
      <c r="Q23" s="25"/>
      <c r="R23" s="25"/>
      <c r="S23" s="25"/>
      <c r="T23" s="25"/>
      <c r="U23" s="25"/>
      <c r="V23" s="25"/>
      <c r="W23" s="25"/>
      <c r="X23" s="25"/>
      <c r="Y23" s="25"/>
      <c r="Z23" s="25"/>
      <c r="AA23" s="25"/>
      <c r="AB23" s="58"/>
    </row>
    <row r="24" spans="1:28" x14ac:dyDescent="0.35">
      <c r="A24" s="23"/>
      <c r="B24" s="22"/>
      <c r="C24" s="22"/>
      <c r="D24" s="21"/>
      <c r="E24" s="22"/>
      <c r="F24" s="22"/>
      <c r="G24" s="22"/>
      <c r="H24" s="64"/>
      <c r="I24" s="22"/>
      <c r="J24" s="22"/>
      <c r="K24" s="22"/>
      <c r="L24" s="22"/>
      <c r="M24" s="22"/>
      <c r="N24" s="22"/>
      <c r="O24" s="22"/>
      <c r="P24" s="22"/>
      <c r="Q24" s="22"/>
      <c r="R24" s="22"/>
      <c r="S24" s="22"/>
      <c r="T24" s="22"/>
      <c r="U24" s="22"/>
      <c r="V24" s="22"/>
      <c r="W24" s="22"/>
      <c r="X24" s="22"/>
      <c r="Y24" s="22"/>
      <c r="Z24" s="22"/>
      <c r="AA24" s="22"/>
      <c r="AB24" s="63"/>
    </row>
    <row r="25" spans="1:28" x14ac:dyDescent="0.35">
      <c r="A25" s="26" t="s">
        <v>656</v>
      </c>
      <c r="B25" s="25" t="s">
        <v>648</v>
      </c>
      <c r="C25" s="24">
        <f>C4*C$28/C$7</f>
        <v>408.29268292682929</v>
      </c>
      <c r="D25" s="24">
        <f t="shared" ref="D25:M27" si="11">$C25*D$28/$C$28</f>
        <v>372.3780487804878</v>
      </c>
      <c r="E25" s="24">
        <f t="shared" si="11"/>
        <v>344.02439024390247</v>
      </c>
      <c r="F25" s="24">
        <f t="shared" si="11"/>
        <v>327.01219512195127</v>
      </c>
      <c r="G25" s="24">
        <f t="shared" si="11"/>
        <v>315.67073170731709</v>
      </c>
      <c r="H25" s="61">
        <f t="shared" si="11"/>
        <v>300.54878048780489</v>
      </c>
      <c r="I25" s="24">
        <f t="shared" si="11"/>
        <v>292.98780487804879</v>
      </c>
      <c r="J25" s="24">
        <f t="shared" si="11"/>
        <v>283.53658536585368</v>
      </c>
      <c r="K25" s="24">
        <f t="shared" si="11"/>
        <v>268.41463414634148</v>
      </c>
      <c r="L25" s="24">
        <f t="shared" si="11"/>
        <v>255.18292682926833</v>
      </c>
      <c r="M25" s="24">
        <f t="shared" si="11"/>
        <v>241.95121951219514</v>
      </c>
      <c r="N25" s="24">
        <f t="shared" ref="N25:AB27" si="12">$C25*N$28/$C$28</f>
        <v>230.60975609756099</v>
      </c>
      <c r="O25" s="24">
        <f t="shared" si="12"/>
        <v>221.15853658536585</v>
      </c>
      <c r="P25" s="24">
        <f t="shared" si="12"/>
        <v>216.43292682926833</v>
      </c>
      <c r="Q25" s="24">
        <f t="shared" si="12"/>
        <v>211.70731707317074</v>
      </c>
      <c r="R25" s="24">
        <f t="shared" si="12"/>
        <v>209.81707317073173</v>
      </c>
      <c r="S25" s="24">
        <f t="shared" si="12"/>
        <v>209.81707317073173</v>
      </c>
      <c r="T25" s="24">
        <f t="shared" si="12"/>
        <v>209.81707317073173</v>
      </c>
      <c r="U25" s="24">
        <f t="shared" si="12"/>
        <v>209.81707317073173</v>
      </c>
      <c r="V25" s="24">
        <f t="shared" si="12"/>
        <v>209.81707317073173</v>
      </c>
      <c r="W25" s="24">
        <f t="shared" si="12"/>
        <v>209.81707317073173</v>
      </c>
      <c r="X25" s="24">
        <f t="shared" si="12"/>
        <v>209.81707317073173</v>
      </c>
      <c r="Y25" s="24">
        <f t="shared" si="12"/>
        <v>207.92682926829269</v>
      </c>
      <c r="Z25" s="24">
        <f t="shared" si="12"/>
        <v>206.03658536585368</v>
      </c>
      <c r="AA25" s="24">
        <f t="shared" si="12"/>
        <v>204.14634146341464</v>
      </c>
      <c r="AB25" s="61">
        <f t="shared" si="12"/>
        <v>204.14634146341464</v>
      </c>
    </row>
    <row r="26" spans="1:28" x14ac:dyDescent="0.35">
      <c r="A26" s="23"/>
      <c r="B26" s="22" t="s">
        <v>649</v>
      </c>
      <c r="C26" s="21">
        <f>C5*C$28/C$7</f>
        <v>429.36585365853659</v>
      </c>
      <c r="D26" s="21">
        <f t="shared" si="11"/>
        <v>391.59756097560972</v>
      </c>
      <c r="E26" s="21">
        <f t="shared" si="11"/>
        <v>361.78048780487808</v>
      </c>
      <c r="F26" s="21">
        <f t="shared" si="11"/>
        <v>343.89024390243901</v>
      </c>
      <c r="G26" s="21">
        <f t="shared" si="11"/>
        <v>331.96341463414637</v>
      </c>
      <c r="H26" s="63">
        <f t="shared" si="11"/>
        <v>316.0609756097561</v>
      </c>
      <c r="I26" s="21">
        <f t="shared" si="11"/>
        <v>308.10975609756099</v>
      </c>
      <c r="J26" s="21">
        <f t="shared" si="11"/>
        <v>298.17073170731709</v>
      </c>
      <c r="K26" s="21">
        <f t="shared" si="11"/>
        <v>282.26829268292681</v>
      </c>
      <c r="L26" s="21">
        <f t="shared" si="11"/>
        <v>268.35365853658539</v>
      </c>
      <c r="M26" s="21">
        <f t="shared" si="11"/>
        <v>254.4390243902439</v>
      </c>
      <c r="N26" s="21">
        <f t="shared" si="12"/>
        <v>242.51219512195124</v>
      </c>
      <c r="O26" s="21">
        <f t="shared" si="12"/>
        <v>232.57317073170731</v>
      </c>
      <c r="P26" s="21">
        <f t="shared" si="12"/>
        <v>227.60365853658536</v>
      </c>
      <c r="Q26" s="21">
        <f t="shared" si="12"/>
        <v>222.63414634146341</v>
      </c>
      <c r="R26" s="21">
        <f t="shared" si="12"/>
        <v>220.64634146341464</v>
      </c>
      <c r="S26" s="21">
        <f t="shared" si="12"/>
        <v>220.64634146341464</v>
      </c>
      <c r="T26" s="21">
        <f t="shared" si="12"/>
        <v>220.64634146341464</v>
      </c>
      <c r="U26" s="21">
        <f t="shared" si="12"/>
        <v>220.64634146341464</v>
      </c>
      <c r="V26" s="21">
        <f t="shared" si="12"/>
        <v>220.64634146341464</v>
      </c>
      <c r="W26" s="21">
        <f t="shared" si="12"/>
        <v>220.64634146341464</v>
      </c>
      <c r="X26" s="21">
        <f t="shared" si="12"/>
        <v>220.64634146341464</v>
      </c>
      <c r="Y26" s="21">
        <f t="shared" si="12"/>
        <v>218.65853658536585</v>
      </c>
      <c r="Z26" s="21">
        <f t="shared" si="12"/>
        <v>216.67073170731709</v>
      </c>
      <c r="AA26" s="21">
        <f t="shared" si="12"/>
        <v>214.68292682926833</v>
      </c>
      <c r="AB26" s="63">
        <f t="shared" si="12"/>
        <v>214.68292682926833</v>
      </c>
    </row>
    <row r="27" spans="1:28" x14ac:dyDescent="0.35">
      <c r="A27" s="26"/>
      <c r="B27" s="25" t="s">
        <v>650</v>
      </c>
      <c r="C27" s="24">
        <f>C6*C$28/C$7</f>
        <v>427.60975609756099</v>
      </c>
      <c r="D27" s="24">
        <f t="shared" si="11"/>
        <v>389.9959349593496</v>
      </c>
      <c r="E27" s="24">
        <f t="shared" si="11"/>
        <v>360.30081300813009</v>
      </c>
      <c r="F27" s="24">
        <f t="shared" si="11"/>
        <v>342.48373983739839</v>
      </c>
      <c r="G27" s="24">
        <f t="shared" si="11"/>
        <v>330.60569105691059</v>
      </c>
      <c r="H27" s="61">
        <f t="shared" si="11"/>
        <v>314.76829268292681</v>
      </c>
      <c r="I27" s="24">
        <f t="shared" si="11"/>
        <v>306.84959349593493</v>
      </c>
      <c r="J27" s="24">
        <f t="shared" si="11"/>
        <v>296.95121951219511</v>
      </c>
      <c r="K27" s="24">
        <f t="shared" si="11"/>
        <v>281.11382113821139</v>
      </c>
      <c r="L27" s="24">
        <f t="shared" si="11"/>
        <v>267.2560975609756</v>
      </c>
      <c r="M27" s="24">
        <f t="shared" si="11"/>
        <v>253.39837398373984</v>
      </c>
      <c r="N27" s="24">
        <f t="shared" si="12"/>
        <v>241.52032520325204</v>
      </c>
      <c r="O27" s="24">
        <f t="shared" si="12"/>
        <v>231.62195121951223</v>
      </c>
      <c r="P27" s="24">
        <f t="shared" si="12"/>
        <v>226.67276422764229</v>
      </c>
      <c r="Q27" s="24">
        <f t="shared" si="12"/>
        <v>221.72357723577238</v>
      </c>
      <c r="R27" s="24">
        <f t="shared" si="12"/>
        <v>219.7439024390244</v>
      </c>
      <c r="S27" s="24">
        <f t="shared" si="12"/>
        <v>219.7439024390244</v>
      </c>
      <c r="T27" s="24">
        <f t="shared" si="12"/>
        <v>219.7439024390244</v>
      </c>
      <c r="U27" s="24">
        <f t="shared" si="12"/>
        <v>219.7439024390244</v>
      </c>
      <c r="V27" s="24">
        <f t="shared" si="12"/>
        <v>219.7439024390244</v>
      </c>
      <c r="W27" s="24">
        <f t="shared" si="12"/>
        <v>219.7439024390244</v>
      </c>
      <c r="X27" s="24">
        <f t="shared" si="12"/>
        <v>219.7439024390244</v>
      </c>
      <c r="Y27" s="24">
        <f t="shared" si="12"/>
        <v>217.76422764227644</v>
      </c>
      <c r="Z27" s="24">
        <f t="shared" si="12"/>
        <v>215.78455284552845</v>
      </c>
      <c r="AA27" s="24">
        <f t="shared" si="12"/>
        <v>213.80487804878049</v>
      </c>
      <c r="AB27" s="61">
        <f t="shared" si="12"/>
        <v>213.80487804878049</v>
      </c>
    </row>
    <row r="28" spans="1:28" x14ac:dyDescent="0.35">
      <c r="A28" s="38" t="s">
        <v>657</v>
      </c>
      <c r="B28" s="22" t="s">
        <v>651</v>
      </c>
      <c r="C28" s="22">
        <v>216</v>
      </c>
      <c r="D28" s="21">
        <v>197</v>
      </c>
      <c r="E28" s="22">
        <v>182</v>
      </c>
      <c r="F28" s="22">
        <v>173</v>
      </c>
      <c r="G28" s="22">
        <v>167</v>
      </c>
      <c r="H28" s="67">
        <v>159</v>
      </c>
      <c r="I28" s="68">
        <v>155</v>
      </c>
      <c r="J28" s="68">
        <v>150</v>
      </c>
      <c r="K28" s="68">
        <v>142</v>
      </c>
      <c r="L28" s="68">
        <v>135</v>
      </c>
      <c r="M28" s="68">
        <v>128</v>
      </c>
      <c r="N28" s="68">
        <v>122</v>
      </c>
      <c r="O28" s="68">
        <v>117</v>
      </c>
      <c r="P28" s="68">
        <v>114.5</v>
      </c>
      <c r="Q28" s="68">
        <v>112</v>
      </c>
      <c r="R28" s="68">
        <v>111</v>
      </c>
      <c r="S28" s="68">
        <v>111</v>
      </c>
      <c r="T28" s="68">
        <v>111</v>
      </c>
      <c r="U28" s="68">
        <v>111</v>
      </c>
      <c r="V28" s="68">
        <v>111</v>
      </c>
      <c r="W28" s="68">
        <v>111</v>
      </c>
      <c r="X28" s="68">
        <v>111</v>
      </c>
      <c r="Y28" s="68">
        <v>110</v>
      </c>
      <c r="Z28" s="68">
        <v>109</v>
      </c>
      <c r="AA28" s="68">
        <v>108</v>
      </c>
      <c r="AB28" s="69">
        <v>108</v>
      </c>
    </row>
    <row r="29" spans="1:28" x14ac:dyDescent="0.35">
      <c r="A29" s="26"/>
      <c r="B29" s="25" t="s">
        <v>652</v>
      </c>
      <c r="C29" s="24">
        <f>C8*C$28/C$7</f>
        <v>305.5609756097561</v>
      </c>
      <c r="D29" s="24">
        <f t="shared" ref="D29:M31" si="13">$C29*D$28/$C$28</f>
        <v>278.6829268292683</v>
      </c>
      <c r="E29" s="24">
        <f t="shared" si="13"/>
        <v>257.46341463414637</v>
      </c>
      <c r="F29" s="24">
        <f t="shared" si="13"/>
        <v>244.73170731707319</v>
      </c>
      <c r="G29" s="24">
        <f t="shared" si="13"/>
        <v>236.2439024390244</v>
      </c>
      <c r="H29" s="61">
        <f t="shared" si="13"/>
        <v>224.92682926829269</v>
      </c>
      <c r="I29" s="24">
        <f t="shared" si="13"/>
        <v>219.26829268292681</v>
      </c>
      <c r="J29" s="24">
        <f t="shared" si="13"/>
        <v>212.19512195121951</v>
      </c>
      <c r="K29" s="24">
        <f t="shared" si="13"/>
        <v>200.8780487804878</v>
      </c>
      <c r="L29" s="24">
        <f t="shared" si="13"/>
        <v>190.97560975609755</v>
      </c>
      <c r="M29" s="24">
        <f t="shared" si="13"/>
        <v>181.07317073170731</v>
      </c>
      <c r="N29" s="24">
        <f t="shared" ref="N29:AB31" si="14">$C29*N$28/$C$28</f>
        <v>172.58536585365854</v>
      </c>
      <c r="O29" s="24">
        <f t="shared" si="14"/>
        <v>165.51219512195124</v>
      </c>
      <c r="P29" s="24">
        <f t="shared" si="14"/>
        <v>161.97560975609755</v>
      </c>
      <c r="Q29" s="24">
        <f t="shared" si="14"/>
        <v>158.4390243902439</v>
      </c>
      <c r="R29" s="24">
        <f t="shared" si="14"/>
        <v>157.02439024390245</v>
      </c>
      <c r="S29" s="24">
        <f t="shared" si="14"/>
        <v>157.02439024390245</v>
      </c>
      <c r="T29" s="24">
        <f t="shared" si="14"/>
        <v>157.02439024390245</v>
      </c>
      <c r="U29" s="24">
        <f t="shared" si="14"/>
        <v>157.02439024390245</v>
      </c>
      <c r="V29" s="24">
        <f t="shared" si="14"/>
        <v>157.02439024390245</v>
      </c>
      <c r="W29" s="24">
        <f t="shared" si="14"/>
        <v>157.02439024390245</v>
      </c>
      <c r="X29" s="24">
        <f t="shared" si="14"/>
        <v>157.02439024390245</v>
      </c>
      <c r="Y29" s="24">
        <f t="shared" si="14"/>
        <v>155.60975609756096</v>
      </c>
      <c r="Z29" s="24">
        <f t="shared" si="14"/>
        <v>154.19512195121951</v>
      </c>
      <c r="AA29" s="24">
        <f t="shared" si="14"/>
        <v>152.78048780487805</v>
      </c>
      <c r="AB29" s="61">
        <f t="shared" si="14"/>
        <v>152.78048780487805</v>
      </c>
    </row>
    <row r="30" spans="1:28" x14ac:dyDescent="0.35">
      <c r="A30" s="23"/>
      <c r="B30" s="22" t="s">
        <v>653</v>
      </c>
      <c r="C30" s="21">
        <f>C9*C$28/C$7</f>
        <v>153.65853658536585</v>
      </c>
      <c r="D30" s="21">
        <f t="shared" si="13"/>
        <v>140.14227642276424</v>
      </c>
      <c r="E30" s="21">
        <f t="shared" si="13"/>
        <v>129.47154471544715</v>
      </c>
      <c r="F30" s="21">
        <f t="shared" si="13"/>
        <v>123.06910569105692</v>
      </c>
      <c r="G30" s="21">
        <f t="shared" si="13"/>
        <v>118.80081300813008</v>
      </c>
      <c r="H30" s="63">
        <f t="shared" si="13"/>
        <v>113.10975609756098</v>
      </c>
      <c r="I30" s="21">
        <f t="shared" si="13"/>
        <v>110.26422764227642</v>
      </c>
      <c r="J30" s="21">
        <f t="shared" si="13"/>
        <v>106.70731707317073</v>
      </c>
      <c r="K30" s="21">
        <f t="shared" si="13"/>
        <v>101.01626016260163</v>
      </c>
      <c r="L30" s="21">
        <f t="shared" si="13"/>
        <v>96.036585365853654</v>
      </c>
      <c r="M30" s="21">
        <f t="shared" si="13"/>
        <v>91.056910569105696</v>
      </c>
      <c r="N30" s="21">
        <f t="shared" si="14"/>
        <v>86.788617886178869</v>
      </c>
      <c r="O30" s="21">
        <f t="shared" si="14"/>
        <v>83.231707317073159</v>
      </c>
      <c r="P30" s="21">
        <f t="shared" si="14"/>
        <v>81.453252032520325</v>
      </c>
      <c r="Q30" s="21">
        <f t="shared" si="14"/>
        <v>79.674796747967477</v>
      </c>
      <c r="R30" s="21">
        <f t="shared" si="14"/>
        <v>78.963414634146346</v>
      </c>
      <c r="S30" s="21">
        <f t="shared" si="14"/>
        <v>78.963414634146346</v>
      </c>
      <c r="T30" s="21">
        <f t="shared" si="14"/>
        <v>78.963414634146346</v>
      </c>
      <c r="U30" s="21">
        <f t="shared" si="14"/>
        <v>78.963414634146346</v>
      </c>
      <c r="V30" s="21">
        <f t="shared" si="14"/>
        <v>78.963414634146346</v>
      </c>
      <c r="W30" s="21">
        <f t="shared" si="14"/>
        <v>78.963414634146346</v>
      </c>
      <c r="X30" s="21">
        <f t="shared" si="14"/>
        <v>78.963414634146346</v>
      </c>
      <c r="Y30" s="21">
        <f t="shared" si="14"/>
        <v>78.252032520325216</v>
      </c>
      <c r="Z30" s="21">
        <f t="shared" si="14"/>
        <v>77.540650406504056</v>
      </c>
      <c r="AA30" s="21">
        <f t="shared" si="14"/>
        <v>76.829268292682926</v>
      </c>
      <c r="AB30" s="63">
        <f t="shared" si="14"/>
        <v>76.829268292682926</v>
      </c>
    </row>
    <row r="31" spans="1:28" x14ac:dyDescent="0.35">
      <c r="A31" s="102"/>
      <c r="B31" s="102" t="s">
        <v>654</v>
      </c>
      <c r="C31" s="103">
        <f>C10*C$28/C$7</f>
        <v>161.5609756097561</v>
      </c>
      <c r="D31" s="103">
        <f t="shared" si="13"/>
        <v>147.34959349593495</v>
      </c>
      <c r="E31" s="103">
        <f t="shared" si="13"/>
        <v>136.130081300813</v>
      </c>
      <c r="F31" s="103">
        <f t="shared" si="13"/>
        <v>129.39837398373984</v>
      </c>
      <c r="G31" s="103">
        <f t="shared" si="13"/>
        <v>124.91056910569105</v>
      </c>
      <c r="H31" s="104">
        <f t="shared" si="13"/>
        <v>118.92682926829268</v>
      </c>
      <c r="I31" s="103">
        <f t="shared" si="13"/>
        <v>115.9349593495935</v>
      </c>
      <c r="J31" s="103">
        <f t="shared" si="13"/>
        <v>112.19512195121952</v>
      </c>
      <c r="K31" s="103">
        <f t="shared" si="13"/>
        <v>106.21138211382113</v>
      </c>
      <c r="L31" s="103">
        <f t="shared" si="13"/>
        <v>100.97560975609757</v>
      </c>
      <c r="M31" s="103">
        <f t="shared" si="13"/>
        <v>95.739837398373979</v>
      </c>
      <c r="N31" s="103">
        <f t="shared" si="14"/>
        <v>91.252032520325216</v>
      </c>
      <c r="O31" s="103">
        <f t="shared" si="14"/>
        <v>87.512195121951223</v>
      </c>
      <c r="P31" s="103">
        <f t="shared" si="14"/>
        <v>85.642276422764226</v>
      </c>
      <c r="Q31" s="103">
        <f t="shared" si="14"/>
        <v>83.772357723577244</v>
      </c>
      <c r="R31" s="103">
        <f t="shared" si="14"/>
        <v>83.024390243902431</v>
      </c>
      <c r="S31" s="103">
        <f t="shared" si="14"/>
        <v>83.024390243902431</v>
      </c>
      <c r="T31" s="103">
        <f t="shared" si="14"/>
        <v>83.024390243902431</v>
      </c>
      <c r="U31" s="103">
        <f t="shared" si="14"/>
        <v>83.024390243902431</v>
      </c>
      <c r="V31" s="103">
        <f t="shared" si="14"/>
        <v>83.024390243902431</v>
      </c>
      <c r="W31" s="103">
        <f t="shared" si="14"/>
        <v>83.024390243902431</v>
      </c>
      <c r="X31" s="103">
        <f t="shared" si="14"/>
        <v>83.024390243902431</v>
      </c>
      <c r="Y31" s="103">
        <f t="shared" si="14"/>
        <v>82.276422764227647</v>
      </c>
      <c r="Z31" s="103">
        <f t="shared" si="14"/>
        <v>81.528455284552848</v>
      </c>
      <c r="AA31" s="103">
        <f t="shared" si="14"/>
        <v>80.780487804878049</v>
      </c>
      <c r="AB31" s="104">
        <f t="shared" si="14"/>
        <v>80.780487804878049</v>
      </c>
    </row>
    <row r="32" spans="1:28" x14ac:dyDescent="0.35">
      <c r="A32" s="105" t="s">
        <v>658</v>
      </c>
      <c r="B32" s="106"/>
      <c r="C32" s="107"/>
      <c r="D32" s="107"/>
      <c r="E32" s="107"/>
      <c r="F32" s="107"/>
      <c r="G32" s="107"/>
      <c r="H32" s="107">
        <f t="shared" ref="H32:AB32" si="15">SUMPRODUCT(H13:H19,H25:H31)/SUM(H13:H19)</f>
        <v>251.73365154725698</v>
      </c>
      <c r="I32" s="107">
        <f t="shared" si="15"/>
        <v>246.53286155055042</v>
      </c>
      <c r="J32" s="107">
        <f t="shared" si="15"/>
        <v>239.59880826643749</v>
      </c>
      <c r="K32" s="107">
        <f t="shared" si="15"/>
        <v>227.71903476176684</v>
      </c>
      <c r="L32" s="107">
        <f t="shared" si="15"/>
        <v>217.2918626320392</v>
      </c>
      <c r="M32" s="107">
        <f t="shared" si="15"/>
        <v>206.73376707575989</v>
      </c>
      <c r="N32" s="107">
        <f t="shared" si="15"/>
        <v>197.7347470106601</v>
      </c>
      <c r="O32" s="107">
        <f t="shared" si="15"/>
        <v>190.25220014906716</v>
      </c>
      <c r="P32" s="107">
        <f t="shared" si="15"/>
        <v>186.75776871321474</v>
      </c>
      <c r="Q32" s="107">
        <f t="shared" si="15"/>
        <v>183.20520533103482</v>
      </c>
      <c r="R32" s="107">
        <f t="shared" si="15"/>
        <v>182.05981415691124</v>
      </c>
      <c r="S32" s="107">
        <f t="shared" si="15"/>
        <v>182.63861916340798</v>
      </c>
      <c r="T32" s="107">
        <f t="shared" si="15"/>
        <v>183.18796539728132</v>
      </c>
      <c r="U32" s="107">
        <f t="shared" si="15"/>
        <v>183.7100460404975</v>
      </c>
      <c r="V32" s="107">
        <f t="shared" si="15"/>
        <v>184.20684183939531</v>
      </c>
      <c r="W32" s="107">
        <f t="shared" si="15"/>
        <v>184.68014621769308</v>
      </c>
      <c r="X32" s="107">
        <f t="shared" si="15"/>
        <v>185.12155729598607</v>
      </c>
      <c r="Y32" s="107">
        <f t="shared" si="15"/>
        <v>183.87473041187448</v>
      </c>
      <c r="Z32" s="107">
        <f t="shared" si="15"/>
        <v>182.60480855694499</v>
      </c>
      <c r="AA32" s="107">
        <f t="shared" si="15"/>
        <v>181.31305090899988</v>
      </c>
      <c r="AB32" s="107">
        <f t="shared" si="15"/>
        <v>181.6828755910542</v>
      </c>
    </row>
    <row r="33" spans="1:28" x14ac:dyDescent="0.35">
      <c r="A33" s="70" t="s">
        <v>52</v>
      </c>
      <c r="B33" s="71"/>
      <c r="C33" s="71"/>
      <c r="D33" s="72"/>
      <c r="E33" s="71"/>
      <c r="F33" s="71"/>
      <c r="G33" s="71"/>
      <c r="H33" s="73">
        <f>(H5*H14+H10*H19)/(H14+H19)</f>
        <v>370.88136983492257</v>
      </c>
      <c r="I33" s="73">
        <f t="shared" ref="I33:AB33" si="16">(I5*I14+I10*I19)/(I14+I19)</f>
        <v>338.49459711362056</v>
      </c>
      <c r="J33" s="73">
        <f t="shared" si="16"/>
        <v>306.04351980738124</v>
      </c>
      <c r="K33" s="73">
        <f t="shared" si="16"/>
        <v>273.53579899025476</v>
      </c>
      <c r="L33" s="73">
        <f t="shared" si="16"/>
        <v>240.97792525929918</v>
      </c>
      <c r="M33" s="73">
        <f t="shared" si="16"/>
        <v>208.37543404593566</v>
      </c>
      <c r="N33" s="73">
        <f t="shared" si="16"/>
        <v>187.43896817658012</v>
      </c>
      <c r="O33" s="73">
        <f t="shared" si="16"/>
        <v>166.47709202825905</v>
      </c>
      <c r="P33" s="73">
        <f t="shared" si="16"/>
        <v>145.49242361700053</v>
      </c>
      <c r="Q33" s="73">
        <f t="shared" si="16"/>
        <v>124.48723325521158</v>
      </c>
      <c r="R33" s="73">
        <f t="shared" si="16"/>
        <v>103.46349942062572</v>
      </c>
      <c r="S33" s="73">
        <f t="shared" si="16"/>
        <v>96.14519842162295</v>
      </c>
      <c r="T33" s="73">
        <f t="shared" si="16"/>
        <v>88.825456904369474</v>
      </c>
      <c r="U33" s="73">
        <f t="shared" si="16"/>
        <v>81.504395498330197</v>
      </c>
      <c r="V33" s="73">
        <f t="shared" si="16"/>
        <v>74.182121729985511</v>
      </c>
      <c r="W33" s="73">
        <f t="shared" si="16"/>
        <v>66.858731754883138</v>
      </c>
      <c r="X33" s="73">
        <f t="shared" si="16"/>
        <v>62.530511914426256</v>
      </c>
      <c r="Y33" s="73">
        <f t="shared" si="16"/>
        <v>58.202030753753561</v>
      </c>
      <c r="Z33" s="73">
        <f t="shared" si="16"/>
        <v>53.873303748552296</v>
      </c>
      <c r="AA33" s="73">
        <f t="shared" si="16"/>
        <v>49.544345176180862</v>
      </c>
      <c r="AB33" s="73">
        <f t="shared" si="16"/>
        <v>45.215168229453944</v>
      </c>
    </row>
    <row r="34" spans="1:28" x14ac:dyDescent="0.35">
      <c r="A34" s="26" t="s">
        <v>659</v>
      </c>
      <c r="B34" s="25"/>
      <c r="C34" s="25"/>
      <c r="D34" s="24"/>
      <c r="E34" s="25"/>
      <c r="F34" s="25"/>
      <c r="G34" s="25"/>
      <c r="H34" s="61">
        <f>(H26*H14+H31*H19)/(H14+H19)</f>
        <v>296.69724012373928</v>
      </c>
      <c r="I34" s="61">
        <f>(I26*I14+I31*I19)/(I14+I19)</f>
        <v>289.41774186228139</v>
      </c>
      <c r="J34" s="61">
        <f t="shared" ref="J34:AB34" si="17">(J26*J14+J31*J19)/(J14+J19)</f>
        <v>280.24554032267685</v>
      </c>
      <c r="K34" s="61">
        <f t="shared" si="17"/>
        <v>265.44190719469714</v>
      </c>
      <c r="L34" s="61">
        <f t="shared" si="17"/>
        <v>252.48212862390616</v>
      </c>
      <c r="M34" s="61">
        <f t="shared" si="17"/>
        <v>239.50059947572657</v>
      </c>
      <c r="N34" s="61">
        <f t="shared" si="17"/>
        <v>228.40412022569592</v>
      </c>
      <c r="O34" s="61">
        <f t="shared" si="17"/>
        <v>219.15919910102599</v>
      </c>
      <c r="P34" s="61">
        <f t="shared" si="17"/>
        <v>214.58194623503763</v>
      </c>
      <c r="Q34" s="61">
        <f t="shared" si="17"/>
        <v>209.99321874802564</v>
      </c>
      <c r="R34" s="61">
        <f t="shared" si="17"/>
        <v>208.20774100556764</v>
      </c>
      <c r="S34" s="61">
        <f t="shared" si="17"/>
        <v>208.2875370280149</v>
      </c>
      <c r="T34" s="61">
        <f t="shared" si="17"/>
        <v>208.36275036887034</v>
      </c>
      <c r="U34" s="61">
        <f t="shared" si="17"/>
        <v>208.43376478337493</v>
      </c>
      <c r="V34" s="61">
        <f t="shared" si="17"/>
        <v>208.5009223426006</v>
      </c>
      <c r="W34" s="61">
        <f t="shared" si="17"/>
        <v>208.56452894357997</v>
      </c>
      <c r="X34" s="61">
        <f t="shared" si="17"/>
        <v>208.58199415663756</v>
      </c>
      <c r="Y34" s="61">
        <f t="shared" si="17"/>
        <v>206.71948787206958</v>
      </c>
      <c r="Z34" s="61">
        <f t="shared" si="17"/>
        <v>204.85602972872414</v>
      </c>
      <c r="AA34" s="61">
        <f t="shared" si="17"/>
        <v>202.99167500555737</v>
      </c>
      <c r="AB34" s="61">
        <f t="shared" si="17"/>
        <v>203.00616146260748</v>
      </c>
    </row>
    <row r="35" spans="1:28" x14ac:dyDescent="0.35">
      <c r="A35" s="23"/>
      <c r="B35" s="22"/>
      <c r="C35" s="22"/>
      <c r="D35" s="21"/>
      <c r="E35" s="22"/>
      <c r="F35" s="22"/>
      <c r="G35" s="22"/>
      <c r="H35" s="64"/>
      <c r="I35" s="22"/>
      <c r="J35" s="22"/>
      <c r="K35" s="22"/>
      <c r="L35" s="22"/>
      <c r="M35" s="22"/>
      <c r="N35" s="22"/>
      <c r="O35" s="22"/>
      <c r="P35" s="22"/>
      <c r="Q35" s="22"/>
      <c r="R35" s="22"/>
      <c r="S35" s="22"/>
      <c r="T35" s="22"/>
      <c r="U35" s="22"/>
      <c r="V35" s="22"/>
      <c r="W35" s="22"/>
      <c r="X35" s="22"/>
      <c r="Y35" s="22"/>
      <c r="Z35" s="22"/>
      <c r="AA35" s="22"/>
      <c r="AB35" s="63"/>
    </row>
    <row r="36" spans="1:28" x14ac:dyDescent="0.35">
      <c r="A36" s="26" t="s">
        <v>55</v>
      </c>
      <c r="B36" s="25"/>
      <c r="C36" s="25"/>
      <c r="D36" s="24"/>
      <c r="E36" s="25"/>
      <c r="F36" s="25"/>
      <c r="G36" s="25"/>
      <c r="H36" s="61">
        <f>(H5*H14+H7*H16+H9*H18)/(H14+H16+H18)</f>
        <v>305.80471481746059</v>
      </c>
      <c r="I36" s="61">
        <f t="shared" ref="I36:AB36" si="18">(I5*I14+I7*I16+I9*I18)/(I14+I16+I18)</f>
        <v>278.18912366079536</v>
      </c>
      <c r="J36" s="61">
        <f t="shared" si="18"/>
        <v>250.22740420749483</v>
      </c>
      <c r="K36" s="61">
        <f t="shared" si="18"/>
        <v>221.95267348951069</v>
      </c>
      <c r="L36" s="61">
        <f t="shared" si="18"/>
        <v>193.39395433127945</v>
      </c>
      <c r="M36" s="61">
        <f t="shared" si="18"/>
        <v>164.57678908172724</v>
      </c>
      <c r="N36" s="61">
        <f t="shared" si="18"/>
        <v>147.79182712561646</v>
      </c>
      <c r="O36" s="61">
        <f t="shared" si="18"/>
        <v>130.80882510262097</v>
      </c>
      <c r="P36" s="61">
        <f t="shared" si="18"/>
        <v>113.64503810557522</v>
      </c>
      <c r="Q36" s="61">
        <f t="shared" si="18"/>
        <v>96.315773237383979</v>
      </c>
      <c r="R36" s="61">
        <f t="shared" si="18"/>
        <v>78.834656960070589</v>
      </c>
      <c r="S36" s="61">
        <f t="shared" si="18"/>
        <v>73.568759051777519</v>
      </c>
      <c r="T36" s="61">
        <f t="shared" si="18"/>
        <v>68.229658066619677</v>
      </c>
      <c r="U36" s="61">
        <f t="shared" si="18"/>
        <v>62.822339403097054</v>
      </c>
      <c r="V36" s="61">
        <f t="shared" si="18"/>
        <v>57.351345809797564</v>
      </c>
      <c r="W36" s="61">
        <f t="shared" si="18"/>
        <v>51.820825446768765</v>
      </c>
      <c r="X36" s="61">
        <f t="shared" si="18"/>
        <v>48.544780242374401</v>
      </c>
      <c r="Y36" s="61">
        <f t="shared" si="18"/>
        <v>45.238238137187224</v>
      </c>
      <c r="Z36" s="61">
        <f t="shared" si="18"/>
        <v>41.902614565997048</v>
      </c>
      <c r="AA36" s="61">
        <f t="shared" si="18"/>
        <v>38.539238706401051</v>
      </c>
      <c r="AB36" s="61">
        <f t="shared" si="18"/>
        <v>35.149359950887884</v>
      </c>
    </row>
    <row r="37" spans="1:28" x14ac:dyDescent="0.35">
      <c r="A37" s="23" t="s">
        <v>660</v>
      </c>
      <c r="B37" s="22"/>
      <c r="C37" s="22"/>
      <c r="D37" s="21"/>
      <c r="E37" s="22"/>
      <c r="F37" s="22"/>
      <c r="G37" s="22"/>
      <c r="H37" s="63">
        <f t="shared" ref="H37:AB37" si="19">(H26*H14+H28*H16+H30*H18)/(H14+H16+H18)</f>
        <v>256.63024621335433</v>
      </c>
      <c r="I37" s="63">
        <f t="shared" si="19"/>
        <v>251.36955626320383</v>
      </c>
      <c r="J37" s="63">
        <f t="shared" si="19"/>
        <v>244.34149425257817</v>
      </c>
      <c r="K37" s="63">
        <f t="shared" si="19"/>
        <v>232.26769476494189</v>
      </c>
      <c r="L37" s="63">
        <f t="shared" si="19"/>
        <v>221.67212886831163</v>
      </c>
      <c r="M37" s="63">
        <f t="shared" si="19"/>
        <v>210.93940832590798</v>
      </c>
      <c r="N37" s="63">
        <f t="shared" si="19"/>
        <v>201.74379253494416</v>
      </c>
      <c r="O37" s="63">
        <f t="shared" si="19"/>
        <v>194.09969467669723</v>
      </c>
      <c r="P37" s="63">
        <f t="shared" si="19"/>
        <v>190.52754395598296</v>
      </c>
      <c r="Q37" s="63">
        <f t="shared" si="19"/>
        <v>186.89850826103915</v>
      </c>
      <c r="R37" s="63">
        <f t="shared" si="19"/>
        <v>185.72709749102788</v>
      </c>
      <c r="S37" s="63">
        <f t="shared" si="19"/>
        <v>186.3144634617766</v>
      </c>
      <c r="T37" s="63">
        <f t="shared" si="19"/>
        <v>186.87454212336752</v>
      </c>
      <c r="U37" s="63">
        <f t="shared" si="19"/>
        <v>187.40919184181433</v>
      </c>
      <c r="V37" s="63">
        <f t="shared" si="19"/>
        <v>187.92010598016208</v>
      </c>
      <c r="W37" s="63">
        <f t="shared" si="19"/>
        <v>188.40883081392943</v>
      </c>
      <c r="X37" s="63">
        <f t="shared" si="19"/>
        <v>188.84688400636941</v>
      </c>
      <c r="Y37" s="63">
        <f t="shared" si="19"/>
        <v>187.56602446360645</v>
      </c>
      <c r="Z37" s="63">
        <f t="shared" si="19"/>
        <v>186.26462857204933</v>
      </c>
      <c r="AA37" s="63">
        <f t="shared" si="19"/>
        <v>184.94363495201168</v>
      </c>
      <c r="AB37" s="63">
        <f t="shared" si="19"/>
        <v>185.31985042321494</v>
      </c>
    </row>
    <row r="38" spans="1:28" x14ac:dyDescent="0.35">
      <c r="A38" s="26"/>
      <c r="B38" s="25"/>
      <c r="C38" s="25"/>
      <c r="D38" s="24"/>
      <c r="E38" s="25"/>
      <c r="F38" s="25"/>
      <c r="G38" s="25"/>
      <c r="H38" s="58"/>
      <c r="I38" s="25"/>
      <c r="J38" s="25"/>
      <c r="K38" s="25"/>
      <c r="L38" s="25"/>
      <c r="M38" s="25"/>
      <c r="N38" s="25"/>
      <c r="O38" s="25"/>
      <c r="P38" s="25"/>
      <c r="Q38" s="25"/>
      <c r="R38" s="25"/>
      <c r="S38" s="25"/>
      <c r="T38" s="25"/>
      <c r="U38" s="25"/>
      <c r="V38" s="25"/>
      <c r="W38" s="25"/>
      <c r="X38" s="25"/>
      <c r="Y38" s="25"/>
      <c r="Z38" s="25"/>
      <c r="AA38" s="25"/>
      <c r="AB38" s="61"/>
    </row>
    <row r="39" spans="1:28" x14ac:dyDescent="0.35">
      <c r="A39" s="23" t="s">
        <v>58</v>
      </c>
      <c r="B39" s="22"/>
      <c r="C39" s="22"/>
      <c r="D39" s="21"/>
      <c r="E39" s="22"/>
      <c r="F39" s="22"/>
      <c r="G39" s="22"/>
      <c r="H39" s="63">
        <f t="shared" ref="H39:AB39" si="20">(H5*H14+H6*H15+H7*H16+H9*H18)/(H14+H15+H16+H18)</f>
        <v>309.0082413644833</v>
      </c>
      <c r="I39" s="63">
        <f t="shared" si="20"/>
        <v>281.78305042625897</v>
      </c>
      <c r="J39" s="63">
        <f t="shared" si="20"/>
        <v>254.2377282109328</v>
      </c>
      <c r="K39" s="63">
        <f t="shared" si="20"/>
        <v>226.40515963090377</v>
      </c>
      <c r="L39" s="63">
        <f t="shared" si="20"/>
        <v>198.31387465804528</v>
      </c>
      <c r="M39" s="63">
        <f t="shared" si="20"/>
        <v>169.98874612583879</v>
      </c>
      <c r="N39" s="63">
        <f t="shared" si="20"/>
        <v>153.7529696377583</v>
      </c>
      <c r="O39" s="63">
        <f t="shared" si="20"/>
        <v>137.33989839605289</v>
      </c>
      <c r="P39" s="63">
        <f t="shared" si="20"/>
        <v>120.76631706267266</v>
      </c>
      <c r="Q39" s="63">
        <f t="shared" si="20"/>
        <v>104.04695642069794</v>
      </c>
      <c r="R39" s="63">
        <f t="shared" si="20"/>
        <v>87.194798206278023</v>
      </c>
      <c r="S39" s="63">
        <f t="shared" si="20"/>
        <v>81.917661376400289</v>
      </c>
      <c r="T39" s="63">
        <f t="shared" si="20"/>
        <v>76.529708592607705</v>
      </c>
      <c r="U39" s="63">
        <f t="shared" si="20"/>
        <v>71.039389865171913</v>
      </c>
      <c r="V39" s="63">
        <f t="shared" si="20"/>
        <v>65.454317385422968</v>
      </c>
      <c r="W39" s="63">
        <f t="shared" si="20"/>
        <v>59.781366851376312</v>
      </c>
      <c r="X39" s="63">
        <f t="shared" si="20"/>
        <v>56.45337373987261</v>
      </c>
      <c r="Y39" s="63">
        <f t="shared" si="20"/>
        <v>53.060432826895237</v>
      </c>
      <c r="Z39" s="63">
        <f t="shared" si="20"/>
        <v>49.606186478878037</v>
      </c>
      <c r="AA39" s="63">
        <f t="shared" si="20"/>
        <v>46.094009701361685</v>
      </c>
      <c r="AB39" s="63">
        <f t="shared" si="20"/>
        <v>42.527034228325476</v>
      </c>
    </row>
    <row r="40" spans="1:28" x14ac:dyDescent="0.35">
      <c r="A40" s="26" t="s">
        <v>661</v>
      </c>
      <c r="B40" s="25"/>
      <c r="C40" s="25"/>
      <c r="D40" s="24"/>
      <c r="E40" s="25"/>
      <c r="F40" s="25"/>
      <c r="G40" s="25"/>
      <c r="H40" s="58">
        <f t="shared" ref="H40:AB40" si="21">(H26*H14+H27*H15+H28*H16+H30*H18)/(H14+H15+H16+H18)</f>
        <v>259.36132615178093</v>
      </c>
      <c r="I40" s="25">
        <f t="shared" si="21"/>
        <v>254.12316457234226</v>
      </c>
      <c r="J40" s="25">
        <f t="shared" si="21"/>
        <v>247.08249631767239</v>
      </c>
      <c r="K40" s="25">
        <f t="shared" si="21"/>
        <v>234.92491901416452</v>
      </c>
      <c r="L40" s="25">
        <f t="shared" si="21"/>
        <v>224.24976002511207</v>
      </c>
      <c r="M40" s="25">
        <f t="shared" si="21"/>
        <v>213.4256463173665</v>
      </c>
      <c r="N40" s="25">
        <f t="shared" si="21"/>
        <v>204.18302755874259</v>
      </c>
      <c r="O40" s="25">
        <f t="shared" si="21"/>
        <v>196.49775505580698</v>
      </c>
      <c r="P40" s="25">
        <f t="shared" si="21"/>
        <v>192.92519928535052</v>
      </c>
      <c r="Q40" s="25">
        <f t="shared" si="21"/>
        <v>189.287831020314</v>
      </c>
      <c r="R40" s="25">
        <f t="shared" si="21"/>
        <v>188.13377009734225</v>
      </c>
      <c r="S40" s="25">
        <f t="shared" si="21"/>
        <v>188.77497714790809</v>
      </c>
      <c r="T40" s="25">
        <f t="shared" si="21"/>
        <v>189.38273825962639</v>
      </c>
      <c r="U40" s="25">
        <f t="shared" si="21"/>
        <v>189.95960377400317</v>
      </c>
      <c r="V40" s="25">
        <f t="shared" si="21"/>
        <v>190.50787116605662</v>
      </c>
      <c r="W40" s="25">
        <f t="shared" si="21"/>
        <v>191.02961562593055</v>
      </c>
      <c r="X40" s="25">
        <f t="shared" si="21"/>
        <v>191.53044195855495</v>
      </c>
      <c r="Y40" s="25">
        <f t="shared" si="21"/>
        <v>190.28234735636889</v>
      </c>
      <c r="Z40" s="25">
        <f t="shared" si="21"/>
        <v>189.00788589329014</v>
      </c>
      <c r="AA40" s="25">
        <f t="shared" si="21"/>
        <v>187.70850912580025</v>
      </c>
      <c r="AB40" s="58">
        <f t="shared" si="21"/>
        <v>188.12748514039765</v>
      </c>
    </row>
    <row r="41" spans="1:28" x14ac:dyDescent="0.35">
      <c r="A41" s="23"/>
      <c r="B41" s="22"/>
      <c r="C41" s="22"/>
      <c r="D41" s="21"/>
      <c r="E41" s="22"/>
      <c r="F41" s="22"/>
      <c r="G41" s="22"/>
      <c r="H41" s="64"/>
      <c r="I41" s="22"/>
      <c r="J41" s="22"/>
      <c r="K41" s="22"/>
      <c r="L41" s="22"/>
      <c r="M41" s="22"/>
      <c r="N41" s="22"/>
      <c r="O41" s="22"/>
      <c r="P41" s="22"/>
      <c r="Q41" s="22"/>
      <c r="R41" s="22"/>
      <c r="S41" s="22"/>
      <c r="T41" s="22"/>
      <c r="U41" s="22"/>
      <c r="V41" s="22"/>
      <c r="W41" s="22"/>
      <c r="X41" s="22"/>
      <c r="Y41" s="22"/>
      <c r="Z41" s="22"/>
      <c r="AA41" s="22"/>
      <c r="AB41" s="63"/>
    </row>
    <row r="42" spans="1:28" x14ac:dyDescent="0.35">
      <c r="A42" s="26" t="s">
        <v>662</v>
      </c>
      <c r="B42" s="25"/>
      <c r="C42" s="25"/>
      <c r="D42" s="24"/>
      <c r="E42" s="25"/>
      <c r="F42" s="25"/>
      <c r="G42" s="25"/>
      <c r="H42" s="61">
        <f>SUMPRODUCT(H14:H15,H5:H6)/SUM(H14:H15)</f>
        <v>390.75149462991374</v>
      </c>
      <c r="I42" s="24">
        <f t="shared" ref="I42:AB42" si="22">SUMPRODUCT(I14:I15,I5:I6)/SUM(I14:I15)</f>
        <v>356.3506385895588</v>
      </c>
      <c r="J42" s="24">
        <f t="shared" si="22"/>
        <v>322.02174762514318</v>
      </c>
      <c r="K42" s="24">
        <f t="shared" si="22"/>
        <v>287.7554820946786</v>
      </c>
      <c r="L42" s="24">
        <f t="shared" si="22"/>
        <v>253.54405147532597</v>
      </c>
      <c r="M42" s="24">
        <f t="shared" si="22"/>
        <v>219.38090597059198</v>
      </c>
      <c r="N42" s="24">
        <f t="shared" si="22"/>
        <v>198.18725195429948</v>
      </c>
      <c r="O42" s="24">
        <f t="shared" si="22"/>
        <v>177.04376370688917</v>
      </c>
      <c r="P42" s="24">
        <f t="shared" si="22"/>
        <v>155.9447160575393</v>
      </c>
      <c r="Q42" s="24">
        <f t="shared" si="22"/>
        <v>134.88522308932977</v>
      </c>
      <c r="R42" s="24">
        <f t="shared" si="22"/>
        <v>113.86108979278588</v>
      </c>
      <c r="S42" s="24">
        <f t="shared" si="22"/>
        <v>106.49521350117655</v>
      </c>
      <c r="T42" s="24">
        <f t="shared" si="22"/>
        <v>99.094825696691373</v>
      </c>
      <c r="U42" s="24">
        <f t="shared" si="22"/>
        <v>91.663185893264398</v>
      </c>
      <c r="V42" s="24">
        <f t="shared" si="22"/>
        <v>84.20315566390218</v>
      </c>
      <c r="W42" s="24">
        <f t="shared" si="22"/>
        <v>76.717257570804477</v>
      </c>
      <c r="X42" s="24">
        <f t="shared" si="22"/>
        <v>72.2620870361675</v>
      </c>
      <c r="Y42" s="24">
        <f t="shared" si="22"/>
        <v>67.772371733583768</v>
      </c>
      <c r="Z42" s="24">
        <f t="shared" si="22"/>
        <v>63.250549389843059</v>
      </c>
      <c r="AA42" s="24">
        <f t="shared" si="22"/>
        <v>58.698833638282132</v>
      </c>
      <c r="AB42" s="61">
        <f t="shared" si="22"/>
        <v>54.119239190650802</v>
      </c>
    </row>
    <row r="43" spans="1:28" x14ac:dyDescent="0.35">
      <c r="A43" s="23" t="s">
        <v>663</v>
      </c>
      <c r="B43" s="22"/>
      <c r="C43" s="22"/>
      <c r="D43" s="21"/>
      <c r="E43" s="22"/>
      <c r="F43" s="22"/>
      <c r="G43" s="22"/>
      <c r="H43" s="63">
        <f>SUMPRODUCT(H14:H15,H26:H27)/SUM(H14:H15)</f>
        <v>315.97131329998024</v>
      </c>
      <c r="I43" s="21">
        <f t="shared" ref="I43:AB43" si="23">SUMPRODUCT(I14:I15,I26:I27)/SUM(I14:I15)</f>
        <v>308.01842247755263</v>
      </c>
      <c r="J43" s="21">
        <f t="shared" si="23"/>
        <v>298.0788877122946</v>
      </c>
      <c r="K43" s="21">
        <f t="shared" si="23"/>
        <v>282.17835788363493</v>
      </c>
      <c r="L43" s="21">
        <f t="shared" si="23"/>
        <v>268.26555102206009</v>
      </c>
      <c r="M43" s="21">
        <f t="shared" si="23"/>
        <v>254.353211190911</v>
      </c>
      <c r="N43" s="21">
        <f t="shared" si="23"/>
        <v>242.42720326181018</v>
      </c>
      <c r="O43" s="21">
        <f t="shared" si="23"/>
        <v>232.48883499461004</v>
      </c>
      <c r="P43" s="21">
        <f t="shared" si="23"/>
        <v>227.51856860737288</v>
      </c>
      <c r="Q43" s="21">
        <f t="shared" si="23"/>
        <v>222.5485971151127</v>
      </c>
      <c r="R43" s="21">
        <f t="shared" si="23"/>
        <v>220.55942197180991</v>
      </c>
      <c r="S43" s="21">
        <f t="shared" si="23"/>
        <v>220.55654965364118</v>
      </c>
      <c r="T43" s="21">
        <f t="shared" si="23"/>
        <v>220.55386406913073</v>
      </c>
      <c r="U43" s="21">
        <f t="shared" si="23"/>
        <v>220.55134758181717</v>
      </c>
      <c r="V43" s="21">
        <f t="shared" si="23"/>
        <v>220.54898470840379</v>
      </c>
      <c r="W43" s="21">
        <f t="shared" si="23"/>
        <v>220.54676179990128</v>
      </c>
      <c r="X43" s="21">
        <f t="shared" si="23"/>
        <v>220.54348612954487</v>
      </c>
      <c r="Y43" s="21">
        <f t="shared" si="23"/>
        <v>218.5535181099572</v>
      </c>
      <c r="Z43" s="21">
        <f t="shared" si="23"/>
        <v>216.56375030389168</v>
      </c>
      <c r="AA43" s="21">
        <f t="shared" si="23"/>
        <v>214.57416890754342</v>
      </c>
      <c r="AB43" s="63">
        <f t="shared" si="23"/>
        <v>214.57153482817708</v>
      </c>
    </row>
  </sheetData>
  <hyperlinks>
    <hyperlink ref="A28" r:id="rId1" xr:uid="{03B0450D-2491-4862-A7F4-1863F0A30A9E}"/>
    <hyperlink ref="B1" r:id="rId2" xr:uid="{BC7CB4F3-CD5C-400D-8E13-0BDCC1A4914E}"/>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1364B-CC42-4374-B115-73D84047249A}">
  <sheetPr>
    <tabColor theme="1"/>
  </sheetPr>
  <dimension ref="A1:G7"/>
  <sheetViews>
    <sheetView workbookViewId="0">
      <selection activeCell="F3" sqref="F3"/>
    </sheetView>
  </sheetViews>
  <sheetFormatPr defaultColWidth="8.81640625" defaultRowHeight="14.5" x14ac:dyDescent="0.35"/>
  <cols>
    <col min="1" max="1" width="31.81640625" bestFit="1" customWidth="1"/>
    <col min="2" max="2" width="29.81640625" bestFit="1" customWidth="1"/>
    <col min="3" max="3" width="10.453125" bestFit="1" customWidth="1"/>
    <col min="4" max="4" width="5.453125" bestFit="1" customWidth="1"/>
    <col min="5" max="5" width="6.453125" bestFit="1" customWidth="1"/>
    <col min="6" max="6" width="11.81640625" bestFit="1" customWidth="1"/>
    <col min="7" max="7" width="84.453125" style="32" bestFit="1" customWidth="1"/>
  </cols>
  <sheetData>
    <row r="1" spans="1:7" x14ac:dyDescent="0.35">
      <c r="A1" s="8" t="s">
        <v>626</v>
      </c>
      <c r="B1" s="9" t="s">
        <v>664</v>
      </c>
      <c r="C1" s="9" t="s">
        <v>665</v>
      </c>
      <c r="D1" s="9" t="s">
        <v>666</v>
      </c>
      <c r="E1" s="9" t="s">
        <v>667</v>
      </c>
      <c r="F1" s="9" t="s">
        <v>286</v>
      </c>
      <c r="G1" s="33" t="s">
        <v>11</v>
      </c>
    </row>
    <row r="2" spans="1:7" x14ac:dyDescent="0.35">
      <c r="A2" s="10" t="s">
        <v>668</v>
      </c>
      <c r="B2" s="11" t="s">
        <v>630</v>
      </c>
      <c r="C2" s="11" t="s">
        <v>669</v>
      </c>
      <c r="D2" s="11">
        <v>3.1</v>
      </c>
      <c r="E2" s="11">
        <v>34.4</v>
      </c>
      <c r="F2" s="11">
        <f>((E2)/D2)^0.1-1</f>
        <v>0.27209537860749511</v>
      </c>
      <c r="G2" s="36" t="s">
        <v>670</v>
      </c>
    </row>
    <row r="3" spans="1:7" x14ac:dyDescent="0.35">
      <c r="A3" s="10" t="s">
        <v>671</v>
      </c>
      <c r="B3" s="11" t="s">
        <v>630</v>
      </c>
      <c r="C3" s="11" t="s">
        <v>672</v>
      </c>
      <c r="D3" s="11">
        <v>34.4</v>
      </c>
      <c r="E3" s="11">
        <v>380</v>
      </c>
      <c r="F3" s="11">
        <f>((E3)/D3)^0.1-1</f>
        <v>0.27151800832362594</v>
      </c>
      <c r="G3" s="36" t="s">
        <v>673</v>
      </c>
    </row>
    <row r="4" spans="1:7" x14ac:dyDescent="0.35">
      <c r="A4" s="12" t="s">
        <v>674</v>
      </c>
      <c r="B4" s="13" t="s">
        <v>675</v>
      </c>
      <c r="C4" s="13" t="s">
        <v>676</v>
      </c>
      <c r="D4" s="13">
        <v>0.3</v>
      </c>
      <c r="E4" s="13">
        <v>10.4</v>
      </c>
      <c r="F4" s="13">
        <f>((E4)/D4)^(1/32)-1</f>
        <v>0.11717768581569299</v>
      </c>
      <c r="G4" s="37" t="s">
        <v>677</v>
      </c>
    </row>
    <row r="5" spans="1:7" x14ac:dyDescent="0.35">
      <c r="A5" s="10" t="s">
        <v>678</v>
      </c>
      <c r="B5" s="11" t="s">
        <v>679</v>
      </c>
      <c r="C5" s="11" t="s">
        <v>680</v>
      </c>
      <c r="D5" s="11">
        <v>5.7</v>
      </c>
      <c r="E5" s="11">
        <v>11.1</v>
      </c>
      <c r="F5" s="11">
        <f>((E5)/D5)^0.05-1</f>
        <v>3.3885408737790446E-2</v>
      </c>
      <c r="G5" s="36" t="s">
        <v>681</v>
      </c>
    </row>
    <row r="6" spans="1:7" ht="15" thickBot="1" x14ac:dyDescent="0.4">
      <c r="A6" s="74" t="s">
        <v>682</v>
      </c>
      <c r="B6" s="75" t="s">
        <v>683</v>
      </c>
      <c r="C6" s="75" t="s">
        <v>684</v>
      </c>
      <c r="D6" s="75">
        <v>5</v>
      </c>
      <c r="E6" s="75">
        <v>29</v>
      </c>
      <c r="F6" s="75">
        <f>((E6)/D6)^(1/30)-1</f>
        <v>6.0345993597539671E-2</v>
      </c>
      <c r="G6" s="76" t="s">
        <v>685</v>
      </c>
    </row>
    <row r="7" spans="1:7" x14ac:dyDescent="0.35">
      <c r="A7" s="14" t="s">
        <v>686</v>
      </c>
      <c r="F7" s="3">
        <f>MEDIAN(F2:F6)</f>
        <v>0.11717768581569299</v>
      </c>
    </row>
  </sheetData>
  <hyperlinks>
    <hyperlink ref="G2" r:id="rId1" xr:uid="{4E135D8A-6481-4CB9-A71C-926CBF5715E3}"/>
    <hyperlink ref="G3" r:id="rId2" xr:uid="{E7842CAB-4781-487E-93A1-BA592EAC61E7}"/>
    <hyperlink ref="G4" r:id="rId3" xr:uid="{227CC3E5-C229-42FC-977D-243B5C55EF20}"/>
    <hyperlink ref="G5" r:id="rId4" xr:uid="{AB015481-AC1E-4F3A-85A2-2031A19FA271}"/>
    <hyperlink ref="G6" r:id="rId5" xr:uid="{DEA0D171-9D29-48C2-8ED3-A6DA84BB2F9F}"/>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8396F-12EE-4470-B3CD-44962AFA8E57}">
  <sheetPr>
    <tabColor rgb="FF0070C0"/>
  </sheetPr>
  <dimension ref="A1:W10"/>
  <sheetViews>
    <sheetView workbookViewId="0">
      <selection activeCell="C3" sqref="C3"/>
    </sheetView>
  </sheetViews>
  <sheetFormatPr defaultColWidth="8.81640625" defaultRowHeight="14.5" x14ac:dyDescent="0.35"/>
  <cols>
    <col min="1" max="1" width="23.54296875" bestFit="1" customWidth="1"/>
    <col min="2" max="2" width="12.453125" bestFit="1" customWidth="1"/>
  </cols>
  <sheetData>
    <row r="1" spans="1:23" s="32" customFormat="1" x14ac:dyDescent="0.35">
      <c r="A1" s="32" t="s">
        <v>687</v>
      </c>
      <c r="B1" s="32" t="s">
        <v>688</v>
      </c>
      <c r="C1" s="35" t="s">
        <v>558</v>
      </c>
      <c r="D1" s="35" t="s">
        <v>559</v>
      </c>
      <c r="E1" s="35" t="s">
        <v>560</v>
      </c>
      <c r="F1" s="35" t="s">
        <v>561</v>
      </c>
      <c r="G1" s="35" t="s">
        <v>562</v>
      </c>
      <c r="H1" s="35" t="s">
        <v>563</v>
      </c>
      <c r="I1" s="35" t="s">
        <v>564</v>
      </c>
      <c r="J1" s="35" t="s">
        <v>565</v>
      </c>
      <c r="K1" s="35" t="s">
        <v>566</v>
      </c>
      <c r="L1" s="35" t="s">
        <v>567</v>
      </c>
      <c r="M1" s="35" t="s">
        <v>568</v>
      </c>
      <c r="N1" s="35" t="s">
        <v>569</v>
      </c>
      <c r="O1" s="35" t="s">
        <v>570</v>
      </c>
      <c r="P1" s="35" t="s">
        <v>571</v>
      </c>
      <c r="Q1" s="35" t="s">
        <v>572</v>
      </c>
      <c r="R1" s="35" t="s">
        <v>573</v>
      </c>
      <c r="S1" s="35" t="s">
        <v>574</v>
      </c>
      <c r="T1" s="35" t="s">
        <v>575</v>
      </c>
      <c r="U1" s="35" t="s">
        <v>576</v>
      </c>
      <c r="V1" s="35" t="s">
        <v>577</v>
      </c>
      <c r="W1" s="35" t="s">
        <v>578</v>
      </c>
    </row>
    <row r="2" spans="1:23" s="32" customFormat="1" x14ac:dyDescent="0.35">
      <c r="A2" s="32" t="s">
        <v>689</v>
      </c>
      <c r="B2" s="32">
        <f>(W2-C2)/20</f>
        <v>6.0000000000000001E-3</v>
      </c>
      <c r="C2" s="34">
        <v>0.81</v>
      </c>
      <c r="D2" s="34">
        <f t="shared" ref="D2:V2" si="0">C2+$B2</f>
        <v>0.81600000000000006</v>
      </c>
      <c r="E2" s="34">
        <f t="shared" si="0"/>
        <v>0.82200000000000006</v>
      </c>
      <c r="F2" s="34">
        <f t="shared" si="0"/>
        <v>0.82800000000000007</v>
      </c>
      <c r="G2" s="34">
        <f t="shared" si="0"/>
        <v>0.83400000000000007</v>
      </c>
      <c r="H2" s="34">
        <f t="shared" si="0"/>
        <v>0.84000000000000008</v>
      </c>
      <c r="I2" s="34">
        <f t="shared" si="0"/>
        <v>0.84600000000000009</v>
      </c>
      <c r="J2" s="34">
        <f t="shared" si="0"/>
        <v>0.85200000000000009</v>
      </c>
      <c r="K2" s="34">
        <f t="shared" si="0"/>
        <v>0.8580000000000001</v>
      </c>
      <c r="L2" s="34">
        <f t="shared" si="0"/>
        <v>0.8640000000000001</v>
      </c>
      <c r="M2" s="34">
        <f t="shared" si="0"/>
        <v>0.87000000000000011</v>
      </c>
      <c r="N2" s="34">
        <f t="shared" si="0"/>
        <v>0.87600000000000011</v>
      </c>
      <c r="O2" s="34">
        <f t="shared" si="0"/>
        <v>0.88200000000000012</v>
      </c>
      <c r="P2" s="34">
        <f t="shared" si="0"/>
        <v>0.88800000000000012</v>
      </c>
      <c r="Q2" s="34">
        <f t="shared" si="0"/>
        <v>0.89400000000000013</v>
      </c>
      <c r="R2" s="34">
        <f t="shared" si="0"/>
        <v>0.90000000000000013</v>
      </c>
      <c r="S2" s="34">
        <f t="shared" si="0"/>
        <v>0.90600000000000014</v>
      </c>
      <c r="T2" s="34">
        <f t="shared" si="0"/>
        <v>0.91200000000000014</v>
      </c>
      <c r="U2" s="34">
        <f t="shared" si="0"/>
        <v>0.91800000000000015</v>
      </c>
      <c r="V2" s="34">
        <f t="shared" si="0"/>
        <v>0.92400000000000015</v>
      </c>
      <c r="W2" s="34">
        <v>0.93</v>
      </c>
    </row>
    <row r="3" spans="1:23" s="32" customFormat="1" x14ac:dyDescent="0.35">
      <c r="A3" s="32" t="s">
        <v>690</v>
      </c>
      <c r="B3" s="32">
        <f>(W3-C3)/20</f>
        <v>-2.0300000000000002E-2</v>
      </c>
      <c r="C3" s="34">
        <v>0.55000000000000004</v>
      </c>
      <c r="D3" s="34">
        <f t="shared" ref="D3:V3" si="1">C3+$B3</f>
        <v>0.52970000000000006</v>
      </c>
      <c r="E3" s="34">
        <f t="shared" si="1"/>
        <v>0.50940000000000007</v>
      </c>
      <c r="F3" s="34">
        <f t="shared" si="1"/>
        <v>0.48910000000000009</v>
      </c>
      <c r="G3" s="34">
        <f t="shared" si="1"/>
        <v>0.46880000000000011</v>
      </c>
      <c r="H3" s="34">
        <f t="shared" si="1"/>
        <v>0.44850000000000012</v>
      </c>
      <c r="I3" s="34">
        <f t="shared" si="1"/>
        <v>0.42820000000000014</v>
      </c>
      <c r="J3" s="34">
        <f t="shared" si="1"/>
        <v>0.40790000000000015</v>
      </c>
      <c r="K3" s="34">
        <f t="shared" si="1"/>
        <v>0.38760000000000017</v>
      </c>
      <c r="L3" s="34">
        <f t="shared" si="1"/>
        <v>0.36730000000000018</v>
      </c>
      <c r="M3" s="34">
        <f t="shared" si="1"/>
        <v>0.3470000000000002</v>
      </c>
      <c r="N3" s="34">
        <f t="shared" si="1"/>
        <v>0.32670000000000021</v>
      </c>
      <c r="O3" s="34">
        <f t="shared" si="1"/>
        <v>0.30640000000000023</v>
      </c>
      <c r="P3" s="34">
        <f t="shared" si="1"/>
        <v>0.28610000000000024</v>
      </c>
      <c r="Q3" s="34">
        <f t="shared" si="1"/>
        <v>0.26580000000000026</v>
      </c>
      <c r="R3" s="34">
        <f t="shared" si="1"/>
        <v>0.24550000000000025</v>
      </c>
      <c r="S3" s="34">
        <f t="shared" si="1"/>
        <v>0.22520000000000023</v>
      </c>
      <c r="T3" s="34">
        <f t="shared" si="1"/>
        <v>0.20490000000000022</v>
      </c>
      <c r="U3" s="34">
        <f t="shared" si="1"/>
        <v>0.18460000000000021</v>
      </c>
      <c r="V3" s="34">
        <f t="shared" si="1"/>
        <v>0.1643000000000002</v>
      </c>
      <c r="W3" s="34">
        <v>0.14399999999999999</v>
      </c>
    </row>
    <row r="4" spans="1:23" s="32" customFormat="1" x14ac:dyDescent="0.35">
      <c r="A4" s="32" t="s">
        <v>691</v>
      </c>
      <c r="B4" s="32" t="s">
        <v>396</v>
      </c>
      <c r="C4" s="34">
        <f t="shared" ref="C4:V4" si="2">C2-C3</f>
        <v>0.26</v>
      </c>
      <c r="D4" s="34">
        <f t="shared" si="2"/>
        <v>0.2863</v>
      </c>
      <c r="E4" s="34">
        <f t="shared" si="2"/>
        <v>0.31259999999999999</v>
      </c>
      <c r="F4" s="34">
        <f t="shared" si="2"/>
        <v>0.33889999999999998</v>
      </c>
      <c r="G4" s="34">
        <f t="shared" si="2"/>
        <v>0.36519999999999997</v>
      </c>
      <c r="H4" s="34">
        <f t="shared" si="2"/>
        <v>0.39149999999999996</v>
      </c>
      <c r="I4" s="34">
        <f t="shared" si="2"/>
        <v>0.41779999999999995</v>
      </c>
      <c r="J4" s="34">
        <f t="shared" si="2"/>
        <v>0.44409999999999994</v>
      </c>
      <c r="K4" s="34">
        <f t="shared" si="2"/>
        <v>0.47039999999999993</v>
      </c>
      <c r="L4" s="34">
        <f t="shared" si="2"/>
        <v>0.49669999999999992</v>
      </c>
      <c r="M4" s="34">
        <f t="shared" si="2"/>
        <v>0.52299999999999991</v>
      </c>
      <c r="N4" s="34">
        <f t="shared" si="2"/>
        <v>0.5492999999999999</v>
      </c>
      <c r="O4" s="34">
        <f t="shared" si="2"/>
        <v>0.57559999999999989</v>
      </c>
      <c r="P4" s="34">
        <f t="shared" si="2"/>
        <v>0.60189999999999988</v>
      </c>
      <c r="Q4" s="34">
        <f t="shared" si="2"/>
        <v>0.62819999999999987</v>
      </c>
      <c r="R4" s="34">
        <f t="shared" si="2"/>
        <v>0.65449999999999986</v>
      </c>
      <c r="S4" s="34">
        <f t="shared" si="2"/>
        <v>0.68079999999999985</v>
      </c>
      <c r="T4" s="34">
        <f t="shared" si="2"/>
        <v>0.70709999999999995</v>
      </c>
      <c r="U4" s="34">
        <f t="shared" si="2"/>
        <v>0.73339999999999994</v>
      </c>
      <c r="V4" s="34">
        <f t="shared" si="2"/>
        <v>0.75969999999999993</v>
      </c>
      <c r="W4" s="34">
        <f>W2-W3</f>
        <v>0.78600000000000003</v>
      </c>
    </row>
    <row r="10" spans="1:23" x14ac:dyDescent="0.35">
      <c r="D10" t="s">
        <v>396</v>
      </c>
      <c r="E10" t="s">
        <v>396</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C269F-3CCC-4E88-A5E3-8086A1C51C05}">
  <sheetPr>
    <pageSetUpPr fitToPage="1"/>
  </sheetPr>
  <dimension ref="A1:R28"/>
  <sheetViews>
    <sheetView topLeftCell="A2" zoomScale="40" zoomScaleNormal="30" workbookViewId="0">
      <selection activeCell="E5" sqref="E5"/>
    </sheetView>
  </sheetViews>
  <sheetFormatPr defaultColWidth="8.81640625" defaultRowHeight="14.5" x14ac:dyDescent="0.35"/>
  <cols>
    <col min="1" max="1" width="73.453125" customWidth="1"/>
    <col min="2" max="2" width="81.81640625" hidden="1" customWidth="1"/>
    <col min="3" max="3" width="81.81640625" customWidth="1"/>
    <col min="4" max="7" width="24.54296875" style="4" customWidth="1"/>
    <col min="8" max="8" width="24.54296875" style="5" customWidth="1"/>
    <col min="9" max="9" width="24.54296875" style="245" customWidth="1"/>
    <col min="10" max="10" width="24.54296875" style="4" customWidth="1"/>
    <col min="11" max="16" width="24.54296875" customWidth="1"/>
  </cols>
  <sheetData>
    <row r="1" spans="1:18" s="6" customFormat="1" ht="33.65" customHeight="1" thickTop="1" thickBot="1" x14ac:dyDescent="0.4">
      <c r="A1" s="420" t="s">
        <v>308</v>
      </c>
      <c r="B1" s="427" t="s">
        <v>309</v>
      </c>
      <c r="C1" s="420" t="s">
        <v>310</v>
      </c>
      <c r="D1" s="423" t="s">
        <v>311</v>
      </c>
      <c r="E1" s="425" t="s">
        <v>312</v>
      </c>
      <c r="F1" s="425" t="s">
        <v>313</v>
      </c>
      <c r="G1" s="425" t="s">
        <v>314</v>
      </c>
      <c r="H1" s="425" t="s">
        <v>315</v>
      </c>
      <c r="I1" s="426" t="s">
        <v>316</v>
      </c>
      <c r="J1" s="425" t="s">
        <v>317</v>
      </c>
      <c r="K1" s="422" t="s">
        <v>318</v>
      </c>
      <c r="L1" s="422"/>
      <c r="M1" s="422"/>
      <c r="N1" s="422"/>
      <c r="O1" s="422"/>
      <c r="P1" s="422"/>
      <c r="Q1" s="15"/>
      <c r="R1" s="15"/>
    </row>
    <row r="2" spans="1:18" s="6" customFormat="1" ht="255" customHeight="1" thickTop="1" thickBot="1" x14ac:dyDescent="0.4">
      <c r="A2" s="421"/>
      <c r="B2" s="427"/>
      <c r="C2" s="421"/>
      <c r="D2" s="424"/>
      <c r="E2" s="425"/>
      <c r="F2" s="425"/>
      <c r="G2" s="425"/>
      <c r="H2" s="425"/>
      <c r="I2" s="426"/>
      <c r="J2" s="425"/>
      <c r="K2" s="355" t="s">
        <v>319</v>
      </c>
      <c r="L2" s="355" t="s">
        <v>320</v>
      </c>
      <c r="M2" s="355" t="s">
        <v>321</v>
      </c>
      <c r="N2" s="355" t="s">
        <v>322</v>
      </c>
      <c r="O2" s="355" t="s">
        <v>323</v>
      </c>
      <c r="P2" s="355" t="s">
        <v>324</v>
      </c>
    </row>
    <row r="3" spans="1:18" ht="27" hidden="1" customHeight="1" thickTop="1" thickBot="1" x14ac:dyDescent="0.4">
      <c r="A3" s="311" t="s">
        <v>325</v>
      </c>
      <c r="B3" s="311" t="s">
        <v>326</v>
      </c>
      <c r="C3" s="311" t="s">
        <v>327</v>
      </c>
      <c r="D3" s="312" t="s">
        <v>328</v>
      </c>
      <c r="E3" s="313" t="s">
        <v>329</v>
      </c>
      <c r="F3" s="314" t="s">
        <v>330</v>
      </c>
      <c r="G3" s="314" t="s">
        <v>331</v>
      </c>
      <c r="H3" s="315" t="s">
        <v>332</v>
      </c>
      <c r="I3" s="316" t="s">
        <v>333</v>
      </c>
      <c r="J3" s="314" t="s">
        <v>334</v>
      </c>
      <c r="K3" s="317" t="s">
        <v>335</v>
      </c>
      <c r="L3" s="317" t="s">
        <v>336</v>
      </c>
      <c r="M3" s="317" t="s">
        <v>337</v>
      </c>
      <c r="N3" s="317" t="s">
        <v>338</v>
      </c>
      <c r="O3" s="317" t="s">
        <v>339</v>
      </c>
      <c r="P3" s="317" t="s">
        <v>340</v>
      </c>
    </row>
    <row r="4" spans="1:18" ht="75" customHeight="1" thickTop="1" thickBot="1" x14ac:dyDescent="0.4">
      <c r="A4" s="352" t="s">
        <v>341</v>
      </c>
      <c r="B4" s="353" t="s">
        <v>342</v>
      </c>
      <c r="C4" s="353" t="s">
        <v>343</v>
      </c>
      <c r="D4" s="325">
        <f>'Summary_Sustainable Food'!$B$25</f>
        <v>5.6905945537705165</v>
      </c>
      <c r="E4" s="325">
        <f>'Summary_Sustainable Food'!$B$26</f>
        <v>12.756393197995139</v>
      </c>
      <c r="F4" s="326" t="str">
        <f t="shared" ref="F4:F26" si="0">IF(E4/21&lt;0.1,"&lt;100",IF(E4/21&lt;0.5,"100-500","&gt;500" ))</f>
        <v>&gt;500</v>
      </c>
      <c r="G4" s="361">
        <f>'Summary_Sustainable Food'!$B$31</f>
        <v>13.378033572514774</v>
      </c>
      <c r="H4" s="359" t="str">
        <f>IF(Table2[[#This Row],[Column4]]="Unknown","Unknown",IF(Table2[[#This Row],[Column4]]&lt;10,"0-10",IF(Table2[[#This Row],[Column4]]&lt;50,"10-50",IF(Table2[[#This Row],[Column4]]&lt;100,"50-100","&gt;100"))))</f>
        <v>10-50</v>
      </c>
      <c r="I4" s="328">
        <v>0.10199999999999999</v>
      </c>
      <c r="J4" s="326">
        <v>8</v>
      </c>
      <c r="K4" s="319" t="b">
        <v>1</v>
      </c>
      <c r="L4" s="319" t="b">
        <v>1</v>
      </c>
      <c r="M4" s="318" t="b">
        <v>0</v>
      </c>
      <c r="N4" s="319" t="b">
        <v>1</v>
      </c>
      <c r="O4" s="318" t="b">
        <v>0</v>
      </c>
      <c r="P4" s="319" t="b">
        <v>1</v>
      </c>
    </row>
    <row r="5" spans="1:18" ht="75" customHeight="1" thickTop="1" thickBot="1" x14ac:dyDescent="0.4">
      <c r="A5" s="352" t="s">
        <v>344</v>
      </c>
      <c r="B5" s="354" t="s">
        <v>345</v>
      </c>
      <c r="C5" s="353" t="s">
        <v>346</v>
      </c>
      <c r="D5" s="325">
        <f>'Summary_Marine Renewable Energy'!$B$3</f>
        <v>3.9488491110827981</v>
      </c>
      <c r="E5" s="325">
        <f>'Summary_Marine Renewable Energy'!$B$4</f>
        <v>10.186182524485819</v>
      </c>
      <c r="F5" s="326" t="str">
        <f t="shared" si="0"/>
        <v>100-500</v>
      </c>
      <c r="G5" s="325">
        <f>'Summary_Marine Renewable Energy'!$B$9</f>
        <v>148.20703523656272</v>
      </c>
      <c r="H5" s="356" t="str">
        <f>IF(Table2[[#This Row],[Column4]]="Unknown","Unknown",IF(Table2[[#This Row],[Column4]]&lt;10,"0-10",IF(Table2[[#This Row],[Column4]]&lt;50,"10-50",IF(Table2[[#This Row],[Column4]]&lt;100,"50-100","&gt;100"))))</f>
        <v>&gt;100</v>
      </c>
      <c r="I5" s="328">
        <v>0.123</v>
      </c>
      <c r="J5" s="326">
        <v>9</v>
      </c>
      <c r="K5" s="319" t="b">
        <v>1</v>
      </c>
      <c r="L5" s="319" t="b">
        <v>1</v>
      </c>
      <c r="M5" s="319" t="b">
        <v>1</v>
      </c>
      <c r="N5" s="318" t="b">
        <v>0</v>
      </c>
      <c r="O5" s="319" t="b">
        <v>1</v>
      </c>
      <c r="P5" s="318" t="b">
        <v>0</v>
      </c>
    </row>
    <row r="6" spans="1:18" ht="75" customHeight="1" thickTop="1" thickBot="1" x14ac:dyDescent="0.4">
      <c r="A6" s="352" t="s">
        <v>183</v>
      </c>
      <c r="B6" s="354" t="s">
        <v>347</v>
      </c>
      <c r="C6" s="353" t="s">
        <v>348</v>
      </c>
      <c r="D6" s="325">
        <f>'Summary_Maritime Transportation'!$B$3</f>
        <v>2.3836049999999993</v>
      </c>
      <c r="E6" s="325">
        <f>'Summary_Maritime Transportation'!$B$4</f>
        <v>6.9192899999999993</v>
      </c>
      <c r="F6" s="326" t="str">
        <f t="shared" si="0"/>
        <v>100-500</v>
      </c>
      <c r="G6" s="361">
        <f>'Summary_Maritime Transportation'!$B$10</f>
        <v>31.343465593942238</v>
      </c>
      <c r="H6" s="359" t="str">
        <f>IF(Table2[[#This Row],[Column4]]="Unknown","Unknown",IF(Table2[[#This Row],[Column4]]&lt;10,"0-10",IF(Table2[[#This Row],[Column4]]&lt;50,"10-50",IF(Table2[[#This Row],[Column4]]&lt;100,"50-100","&gt;100"))))</f>
        <v>10-50</v>
      </c>
      <c r="I6" s="330">
        <v>0.222</v>
      </c>
      <c r="J6" s="331">
        <v>7</v>
      </c>
      <c r="K6" s="319" t="b">
        <v>1</v>
      </c>
      <c r="L6" s="318" t="b">
        <v>0</v>
      </c>
      <c r="M6" s="319" t="b">
        <v>1</v>
      </c>
      <c r="N6" s="318" t="b">
        <v>0</v>
      </c>
      <c r="O6" s="318" t="b">
        <v>0</v>
      </c>
      <c r="P6" s="318" t="b">
        <v>0</v>
      </c>
    </row>
    <row r="7" spans="1:18" ht="75" customHeight="1" thickTop="1" thickBot="1" x14ac:dyDescent="0.4">
      <c r="A7" s="352" t="s">
        <v>349</v>
      </c>
      <c r="B7" s="354" t="s">
        <v>350</v>
      </c>
      <c r="C7" s="353" t="s">
        <v>351</v>
      </c>
      <c r="D7" s="325">
        <f>'Summary_Microalgae Products'!$B$3</f>
        <v>1.5914392927706809</v>
      </c>
      <c r="E7" s="325">
        <f>'Summary_Microalgae Products'!$B$4</f>
        <v>2</v>
      </c>
      <c r="F7" s="327" t="str">
        <f t="shared" si="0"/>
        <v>&lt;100</v>
      </c>
      <c r="G7" s="361">
        <f>'Summary_Microalgae Products'!B8</f>
        <v>15.392109420468921</v>
      </c>
      <c r="H7" s="359" t="str">
        <f>IF(Table2[[#This Row],[Column4]]="Unknown","Unknown",IF(Table2[[#This Row],[Column4]]&lt;10,"0-10",IF(Table2[[#This Row],[Column4]]&lt;50,"10-50",IF(Table2[[#This Row],[Column4]]&lt;100,"50-100","&gt;100"))))</f>
        <v>10-50</v>
      </c>
      <c r="I7" s="328">
        <v>8.7599999999999997E-2</v>
      </c>
      <c r="J7" s="329">
        <v>6</v>
      </c>
      <c r="K7" s="319" t="b">
        <v>1</v>
      </c>
      <c r="L7" s="318" t="b">
        <v>0</v>
      </c>
      <c r="M7" s="318" t="b">
        <v>0</v>
      </c>
      <c r="N7" s="318" t="b">
        <v>0</v>
      </c>
      <c r="O7" s="318" t="b">
        <v>0</v>
      </c>
      <c r="P7" s="319" t="b">
        <v>1</v>
      </c>
    </row>
    <row r="8" spans="1:18" ht="75" customHeight="1" thickTop="1" thickBot="1" x14ac:dyDescent="0.4">
      <c r="A8" s="352" t="s">
        <v>352</v>
      </c>
      <c r="B8" s="354" t="s">
        <v>353</v>
      </c>
      <c r="C8" s="353" t="s">
        <v>354</v>
      </c>
      <c r="D8" s="325">
        <f>'Summary_Macroalgae Products'!$B$22</f>
        <v>1.1320000762380114</v>
      </c>
      <c r="E8" s="325">
        <f>'Summary_Macroalgae Products'!$B$23</f>
        <v>5.2700650212247355</v>
      </c>
      <c r="F8" s="329" t="str">
        <f t="shared" si="0"/>
        <v>100-500</v>
      </c>
      <c r="G8" s="361">
        <f>'Summary_Macroalgae Products'!$B$27</f>
        <v>19.60745441911428</v>
      </c>
      <c r="H8" s="359" t="str">
        <f>IF(Table2[[#This Row],[Column4]]="Unknown","Unknown",IF(Table2[[#This Row],[Column4]]&lt;10,"0-10",IF(Table2[[#This Row],[Column4]]&lt;50,"10-50",IF(Table2[[#This Row],[Column4]]&lt;100,"50-100","&gt;100"))))</f>
        <v>10-50</v>
      </c>
      <c r="I8" s="328">
        <v>8.7599999999999997E-2</v>
      </c>
      <c r="J8" s="329">
        <v>4</v>
      </c>
      <c r="K8" s="319" t="b">
        <v>1</v>
      </c>
      <c r="L8" s="319" t="b">
        <v>1</v>
      </c>
      <c r="M8" s="319" t="b">
        <v>1</v>
      </c>
      <c r="N8" s="319" t="b">
        <v>1</v>
      </c>
      <c r="O8" s="318" t="b">
        <v>0</v>
      </c>
      <c r="P8" s="319" t="b">
        <v>1</v>
      </c>
    </row>
    <row r="9" spans="1:18" ht="75" customHeight="1" thickTop="1" thickBot="1" x14ac:dyDescent="0.4">
      <c r="A9" s="352" t="s">
        <v>191</v>
      </c>
      <c r="B9" s="354" t="s">
        <v>355</v>
      </c>
      <c r="C9" s="353" t="s">
        <v>348</v>
      </c>
      <c r="D9" s="325">
        <f>'Summary_Macroalgae Products'!$B$22</f>
        <v>1.1320000762380114</v>
      </c>
      <c r="E9" s="325">
        <f>'Summary_Macroalgae Products'!$B$23</f>
        <v>5.2700650212247355</v>
      </c>
      <c r="F9" s="329" t="str">
        <f t="shared" si="0"/>
        <v>100-500</v>
      </c>
      <c r="G9" s="363" t="s">
        <v>356</v>
      </c>
      <c r="H9" s="364" t="str">
        <f>IF(Table2[[#This Row],[Column4]]="Unknown","Unknown",IF(Table2[[#This Row],[Column4]]&lt;10,"0-10",IF(Table2[[#This Row],[Column4]]&lt;50,"10-50",IF(Table2[[#This Row],[Column4]]&lt;100,"50-100","&gt;100"))))</f>
        <v>Unknown</v>
      </c>
      <c r="I9" s="330">
        <v>0.08</v>
      </c>
      <c r="J9" s="331">
        <v>9</v>
      </c>
      <c r="K9" s="319" t="b">
        <v>1</v>
      </c>
      <c r="L9" s="319" t="b">
        <v>1</v>
      </c>
      <c r="M9" s="318" t="b">
        <v>0</v>
      </c>
      <c r="N9" s="318" t="b">
        <v>0</v>
      </c>
      <c r="O9" s="318" t="b">
        <v>0</v>
      </c>
      <c r="P9" s="318" t="b">
        <v>0</v>
      </c>
    </row>
    <row r="10" spans="1:18" ht="75" customHeight="1" thickTop="1" thickBot="1" x14ac:dyDescent="0.4">
      <c r="A10" s="352" t="s">
        <v>357</v>
      </c>
      <c r="B10" s="354" t="s">
        <v>358</v>
      </c>
      <c r="C10" s="353" t="s">
        <v>359</v>
      </c>
      <c r="D10" s="332">
        <f>'Summary_Ecosystem Protection'!$B$44</f>
        <v>0.81627906976744191</v>
      </c>
      <c r="E10" s="325">
        <f>'Summary_Ecosystem Protection'!$B$45</f>
        <v>1.9046511627906975</v>
      </c>
      <c r="F10" s="327" t="str">
        <f t="shared" si="0"/>
        <v>&lt;100</v>
      </c>
      <c r="G10" s="362">
        <f>'Summary_Ecosystem Protection'!$B$49</f>
        <v>2.1626122706107971</v>
      </c>
      <c r="H10" s="360" t="str">
        <f>IF(Table2[[#This Row],[Column4]]="Unknown","Unknown",IF(Table2[[#This Row],[Column4]]&lt;10,"0-10",IF(Table2[[#This Row],[Column4]]&lt;50,"10-50",IF(Table2[[#This Row],[Column4]]&lt;100,"50-100","&gt;100"))))</f>
        <v>0-10</v>
      </c>
      <c r="I10" s="365" t="s">
        <v>356</v>
      </c>
      <c r="J10" s="326">
        <v>9</v>
      </c>
      <c r="K10" s="319" t="b">
        <v>1</v>
      </c>
      <c r="L10" s="319" t="b">
        <v>1</v>
      </c>
      <c r="M10" s="319" t="b">
        <v>1</v>
      </c>
      <c r="N10" s="319" t="b">
        <v>1</v>
      </c>
      <c r="O10" s="318" t="b">
        <v>0</v>
      </c>
      <c r="P10" s="318" t="b">
        <v>0</v>
      </c>
    </row>
    <row r="11" spans="1:18" ht="75" customHeight="1" thickTop="1" thickBot="1" x14ac:dyDescent="0.4">
      <c r="A11" s="352" t="s">
        <v>360</v>
      </c>
      <c r="B11" s="354" t="s">
        <v>361</v>
      </c>
      <c r="C11" s="353" t="s">
        <v>362</v>
      </c>
      <c r="D11" s="332">
        <f>'Summary_Marine Renewable Energy'!$B$66</f>
        <v>0.51592356878883983</v>
      </c>
      <c r="E11" s="325">
        <f>'Summary_Marine Renewable Energy'!$B$67</f>
        <v>2.2021951960645909</v>
      </c>
      <c r="F11" s="329" t="str">
        <f t="shared" si="0"/>
        <v>100-500</v>
      </c>
      <c r="G11" s="362">
        <f>'Summary_Marine Renewable Energy'!$B$72</f>
        <v>6.7189742701927232E-3</v>
      </c>
      <c r="H11" s="358" t="str">
        <f>IF(Table2[[#This Row],[Column4]]="Unknown","Unknown",IF(Table2[[#This Row],[Column4]]&lt;10,"0-10",IF(Table2[[#This Row],[Column4]]&lt;50,"10-50",IF(Table2[[#This Row],[Column4]]&lt;100,"50-100","&gt;100"))))</f>
        <v>0-10</v>
      </c>
      <c r="I11" s="328">
        <v>0.20100000000000001</v>
      </c>
      <c r="J11" s="329">
        <v>5</v>
      </c>
      <c r="K11" s="319" t="b">
        <v>1</v>
      </c>
      <c r="L11" s="318" t="b">
        <v>0</v>
      </c>
      <c r="M11" s="319" t="b">
        <v>1</v>
      </c>
      <c r="N11" s="318" t="b">
        <v>0</v>
      </c>
      <c r="O11" s="319" t="b">
        <v>1</v>
      </c>
      <c r="P11" s="318" t="b">
        <v>0</v>
      </c>
    </row>
    <row r="12" spans="1:18" ht="75" customHeight="1" thickTop="1" thickBot="1" x14ac:dyDescent="0.4">
      <c r="A12" s="352" t="s">
        <v>363</v>
      </c>
      <c r="B12" s="354" t="s">
        <v>364</v>
      </c>
      <c r="C12" s="353" t="s">
        <v>348</v>
      </c>
      <c r="D12" s="333">
        <f>'Summary_Maritime Transportation'!$B$34</f>
        <v>0.30268</v>
      </c>
      <c r="E12" s="332">
        <f>'Summary_Maritime Transportation'!$B$35</f>
        <v>0.87863999999999987</v>
      </c>
      <c r="F12" s="327" t="str">
        <f t="shared" si="0"/>
        <v>&lt;100</v>
      </c>
      <c r="G12" s="333">
        <f>'Summary_Maritime Transportation'!$B$39</f>
        <v>3.5076907800000021</v>
      </c>
      <c r="H12" s="358" t="str">
        <f>IF(Table2[[#This Row],[Column4]]="Unknown","Unknown",IF(Table2[[#This Row],[Column4]]&lt;10,"0-10",IF(Table2[[#This Row],[Column4]]&lt;50,"10-50",IF(Table2[[#This Row],[Column4]]&lt;100,"50-100","&gt;100"))))</f>
        <v>0-10</v>
      </c>
      <c r="I12" s="330">
        <v>0.112</v>
      </c>
      <c r="J12" s="331">
        <v>9</v>
      </c>
      <c r="K12" s="319" t="b">
        <v>1</v>
      </c>
      <c r="L12" s="318" t="b">
        <v>0</v>
      </c>
      <c r="M12" s="318" t="b">
        <v>0</v>
      </c>
      <c r="N12" s="318" t="b">
        <v>0</v>
      </c>
      <c r="O12" s="318" t="b">
        <v>0</v>
      </c>
      <c r="P12" s="318" t="b">
        <v>0</v>
      </c>
    </row>
    <row r="13" spans="1:18" ht="75" customHeight="1" thickTop="1" thickBot="1" x14ac:dyDescent="0.4">
      <c r="A13" s="352" t="s">
        <v>197</v>
      </c>
      <c r="B13" s="354" t="s">
        <v>365</v>
      </c>
      <c r="C13" s="353" t="s">
        <v>359</v>
      </c>
      <c r="D13" s="333">
        <f>'Summary_Ecosystem Protection'!$B$3</f>
        <v>0.27541515348041107</v>
      </c>
      <c r="E13" s="332">
        <f>'Summary_Ecosystem Protection'!$B$4</f>
        <v>0.54368985209491816</v>
      </c>
      <c r="F13" s="327" t="str">
        <f t="shared" si="0"/>
        <v>&lt;100</v>
      </c>
      <c r="G13" s="363" t="s">
        <v>356</v>
      </c>
      <c r="H13" s="364" t="str">
        <f>IF(Table2[[#This Row],[Column4]]="Unknown","Unknown",IF(Table2[[#This Row],[Column4]]&lt;10,"0-10",IF(Table2[[#This Row],[Column4]]&lt;50,"10-50",IF(Table2[[#This Row],[Column4]]&lt;100,"50-100","&gt;100"))))</f>
        <v>Unknown</v>
      </c>
      <c r="I13" s="365" t="s">
        <v>356</v>
      </c>
      <c r="J13" s="326">
        <v>9</v>
      </c>
      <c r="K13" s="319" t="b">
        <v>1</v>
      </c>
      <c r="L13" s="319" t="b">
        <v>1</v>
      </c>
      <c r="M13" s="319" t="b">
        <v>1</v>
      </c>
      <c r="N13" s="319" t="b">
        <v>1</v>
      </c>
      <c r="O13" s="318" t="b">
        <v>0</v>
      </c>
      <c r="P13" s="318" t="b">
        <v>0</v>
      </c>
    </row>
    <row r="14" spans="1:18" ht="75" customHeight="1" thickTop="1" thickBot="1" x14ac:dyDescent="0.4">
      <c r="A14" s="352" t="s">
        <v>210</v>
      </c>
      <c r="B14" s="354" t="s">
        <v>366</v>
      </c>
      <c r="C14" s="353" t="s">
        <v>359</v>
      </c>
      <c r="D14" s="333">
        <f>'Summary_Ecosystem Protection'!$B$35</f>
        <v>0.27271736731186019</v>
      </c>
      <c r="E14" s="332">
        <f>'Summary_Ecosystem Protection'!$B$36</f>
        <v>0.75892138640697493</v>
      </c>
      <c r="F14" s="327" t="str">
        <f t="shared" si="0"/>
        <v>&lt;100</v>
      </c>
      <c r="G14" s="363" t="s">
        <v>356</v>
      </c>
      <c r="H14" s="366" t="str">
        <f>IF(Table2[[#This Row],[Column4]]="Unknown","Unknown",IF(Table2[[#This Row],[Column4]]&lt;10,"0-10",IF(Table2[[#This Row],[Column4]]&lt;50,"10-50",IF(Table2[[#This Row],[Column4]]&lt;100,"50-100","&gt;100"))))</f>
        <v>Unknown</v>
      </c>
      <c r="I14" s="365" t="s">
        <v>356</v>
      </c>
      <c r="J14" s="326">
        <v>9</v>
      </c>
      <c r="K14" s="319" t="b">
        <v>1</v>
      </c>
      <c r="L14" s="319" t="b">
        <v>1</v>
      </c>
      <c r="M14" s="319" t="b">
        <v>1</v>
      </c>
      <c r="N14" s="319" t="b">
        <v>1</v>
      </c>
      <c r="O14" s="318" t="b">
        <v>0</v>
      </c>
      <c r="P14" s="318" t="b">
        <v>0</v>
      </c>
    </row>
    <row r="15" spans="1:18" ht="75" customHeight="1" thickTop="1" thickBot="1" x14ac:dyDescent="0.4">
      <c r="A15" s="352" t="s">
        <v>148</v>
      </c>
      <c r="B15" s="353" t="s">
        <v>367</v>
      </c>
      <c r="C15" s="353" t="s">
        <v>343</v>
      </c>
      <c r="D15" s="333">
        <f>'Summary_Sustainable Food'!$B$3</f>
        <v>0.26146913223699941</v>
      </c>
      <c r="E15" s="325">
        <f>'Summary_Sustainable Food'!$B$4</f>
        <v>1.161941421083057</v>
      </c>
      <c r="F15" s="327" t="str">
        <f t="shared" si="0"/>
        <v>&lt;100</v>
      </c>
      <c r="G15" s="361">
        <f>'Summary_Sustainable Food'!$B$9</f>
        <v>12.833875352871276</v>
      </c>
      <c r="H15" s="359" t="str">
        <f>IF(Table2[[#This Row],[Column4]]="Unknown","Unknown",IF(Table2[[#This Row],[Column4]]&lt;10,"0-10",IF(Table2[[#This Row],[Column4]]&lt;50,"10-50",IF(Table2[[#This Row],[Column4]]&lt;100,"50-100","&gt;100"))))</f>
        <v>10-50</v>
      </c>
      <c r="I15" s="328">
        <v>5.5500000000000001E-2</v>
      </c>
      <c r="J15" s="326">
        <v>8</v>
      </c>
      <c r="K15" s="319" t="b">
        <v>1</v>
      </c>
      <c r="L15" s="319" t="b">
        <v>1</v>
      </c>
      <c r="M15" s="319" t="b">
        <v>1</v>
      </c>
      <c r="N15" s="319" t="b">
        <v>1</v>
      </c>
      <c r="O15" s="318" t="b">
        <v>0</v>
      </c>
      <c r="P15" s="319" t="b">
        <v>1</v>
      </c>
    </row>
    <row r="16" spans="1:18" ht="75" customHeight="1" thickTop="1" thickBot="1" x14ac:dyDescent="0.4">
      <c r="A16" s="352" t="s">
        <v>135</v>
      </c>
      <c r="B16" s="353" t="s">
        <v>368</v>
      </c>
      <c r="C16" s="353" t="s">
        <v>343</v>
      </c>
      <c r="D16" s="333">
        <f>'Summary_Sustainable Food'!$B$14</f>
        <v>0.24764877951192882</v>
      </c>
      <c r="E16" s="332">
        <f>'Summary_Sustainable Food'!$B$15</f>
        <v>0.79925788741911141</v>
      </c>
      <c r="F16" s="327" t="str">
        <f t="shared" si="0"/>
        <v>&lt;100</v>
      </c>
      <c r="G16" s="361">
        <f>'Summary_Sustainable Food'!$B$20</f>
        <v>16.693687473890229</v>
      </c>
      <c r="H16" s="357" t="str">
        <f>IF(Table2[[#This Row],[Column4]]="Unknown","Unknown",IF(Table2[[#This Row],[Column4]]&lt;10,"0-10",IF(Table2[[#This Row],[Column4]]&lt;50,"10-50",IF(Table2[[#This Row],[Column4]]&lt;100,"50-100","&gt;100"))))</f>
        <v>10-50</v>
      </c>
      <c r="I16" s="328">
        <v>5.6000000000000001E-2</v>
      </c>
      <c r="J16" s="326">
        <v>8</v>
      </c>
      <c r="K16" s="319" t="b">
        <v>1</v>
      </c>
      <c r="L16" s="319" t="b">
        <v>1</v>
      </c>
      <c r="M16" s="319" t="b">
        <v>1</v>
      </c>
      <c r="N16" s="319" t="b">
        <v>1</v>
      </c>
      <c r="O16" s="318" t="b">
        <v>0</v>
      </c>
      <c r="P16" s="319" t="b">
        <v>1</v>
      </c>
    </row>
    <row r="17" spans="1:16" ht="75" customHeight="1" thickTop="1" thickBot="1" x14ac:dyDescent="0.4">
      <c r="A17" s="352" t="s">
        <v>369</v>
      </c>
      <c r="B17" s="354" t="s">
        <v>370</v>
      </c>
      <c r="C17" s="353" t="s">
        <v>346</v>
      </c>
      <c r="D17" s="333">
        <f>'Summary_Marine Renewable Energy'!$B$47</f>
        <v>0.17874106250352245</v>
      </c>
      <c r="E17" s="332">
        <f>'Summary_Marine Renewable Energy'!$B$48</f>
        <v>0.68778451430181964</v>
      </c>
      <c r="F17" s="327" t="str">
        <f t="shared" si="0"/>
        <v>&lt;100</v>
      </c>
      <c r="G17" s="361">
        <f>'Summary_Marine Renewable Energy'!$B$52</f>
        <v>28.726508543813541</v>
      </c>
      <c r="H17" s="359" t="str">
        <f>IF(Table2[[#This Row],[Column4]]="Unknown","Unknown",IF(Table2[[#This Row],[Column4]]&lt;10,"0-10",IF(Table2[[#This Row],[Column4]]&lt;50,"10-50",IF(Table2[[#This Row],[Column4]]&lt;100,"50-100","&gt;100"))))</f>
        <v>10-50</v>
      </c>
      <c r="I17" s="330">
        <v>0.22500000000000001</v>
      </c>
      <c r="J17" s="331">
        <v>7</v>
      </c>
      <c r="K17" s="319" t="b">
        <v>1</v>
      </c>
      <c r="L17" s="318" t="b">
        <v>0</v>
      </c>
      <c r="M17" s="319" t="b">
        <v>1</v>
      </c>
      <c r="N17" s="318" t="b">
        <v>0</v>
      </c>
      <c r="O17" s="319" t="b">
        <v>1</v>
      </c>
      <c r="P17" s="318" t="b">
        <v>0</v>
      </c>
    </row>
    <row r="18" spans="1:16" ht="75" customHeight="1" thickTop="1" thickBot="1" x14ac:dyDescent="0.4">
      <c r="A18" s="352" t="s">
        <v>206</v>
      </c>
      <c r="B18" s="354" t="s">
        <v>371</v>
      </c>
      <c r="C18" s="353" t="s">
        <v>359</v>
      </c>
      <c r="D18" s="333">
        <f>'Summary_Ecosystem Protection'!$B$23</f>
        <v>0.16000000000000003</v>
      </c>
      <c r="E18" s="333">
        <f>'Summary_Ecosystem Protection'!$B$24</f>
        <v>0.33600000000000019</v>
      </c>
      <c r="F18" s="327" t="str">
        <f t="shared" si="0"/>
        <v>&lt;100</v>
      </c>
      <c r="G18" s="363" t="s">
        <v>356</v>
      </c>
      <c r="H18" s="366" t="str">
        <f>IF(Table2[[#This Row],[Column4]]="Unknown","Unknown",IF(Table2[[#This Row],[Column4]]&lt;10,"0-10",IF(Table2[[#This Row],[Column4]]&lt;50,"10-50",IF(Table2[[#This Row],[Column4]]&lt;100,"50-100","&gt;100"))))</f>
        <v>Unknown</v>
      </c>
      <c r="I18" s="365" t="s">
        <v>356</v>
      </c>
      <c r="J18" s="326">
        <v>9</v>
      </c>
      <c r="K18" s="319" t="b">
        <v>1</v>
      </c>
      <c r="L18" s="319" t="b">
        <v>1</v>
      </c>
      <c r="M18" s="319" t="b">
        <v>1</v>
      </c>
      <c r="N18" s="319" t="b">
        <v>1</v>
      </c>
      <c r="O18" s="318" t="b">
        <v>0</v>
      </c>
      <c r="P18" s="318" t="b">
        <v>0</v>
      </c>
    </row>
    <row r="19" spans="1:16" ht="75" customHeight="1" thickTop="1" thickBot="1" x14ac:dyDescent="0.4">
      <c r="A19" s="352" t="s">
        <v>193</v>
      </c>
      <c r="B19" s="354" t="s">
        <v>372</v>
      </c>
      <c r="C19" s="353" t="s">
        <v>348</v>
      </c>
      <c r="D19" s="333">
        <f>'Summary_Maritime Transportation'!$B$24</f>
        <v>0.15134</v>
      </c>
      <c r="E19" s="333">
        <f>'Summary_Maritime Transportation'!$B$25</f>
        <v>0.43931999999999993</v>
      </c>
      <c r="F19" s="327" t="str">
        <f t="shared" si="0"/>
        <v>&lt;100</v>
      </c>
      <c r="G19" s="333">
        <f>'Summary_Maritime Transportation'!$B$29</f>
        <v>8.7242962685132834</v>
      </c>
      <c r="H19" s="358" t="str">
        <f>IF(Table2[[#This Row],[Column4]]="Unknown","Unknown",IF(Table2[[#This Row],[Column4]]&lt;10,"0-10",IF(Table2[[#This Row],[Column4]]&lt;50,"10-50",IF(Table2[[#This Row],[Column4]]&lt;100,"50-100","&gt;100"))))</f>
        <v>0-10</v>
      </c>
      <c r="I19" s="330">
        <v>0.13600000000000001</v>
      </c>
      <c r="J19" s="331">
        <v>8</v>
      </c>
      <c r="K19" s="319" t="b">
        <v>1</v>
      </c>
      <c r="L19" s="318" t="b">
        <v>0</v>
      </c>
      <c r="M19" s="319" t="b">
        <v>1</v>
      </c>
      <c r="N19" s="318" t="b">
        <v>0</v>
      </c>
      <c r="O19" s="318" t="b">
        <v>0</v>
      </c>
      <c r="P19" s="318" t="b">
        <v>0</v>
      </c>
    </row>
    <row r="20" spans="1:16" ht="75" customHeight="1" thickTop="1" thickBot="1" x14ac:dyDescent="0.4">
      <c r="A20" s="352" t="s">
        <v>373</v>
      </c>
      <c r="B20" s="354" t="s">
        <v>374</v>
      </c>
      <c r="C20" s="353" t="s">
        <v>362</v>
      </c>
      <c r="D20" s="333">
        <f>'Summary_Marine Renewable Energy'!$B$25</f>
        <v>9.4708635189563795E-2</v>
      </c>
      <c r="E20" s="332">
        <f>'Summary_Marine Renewable Energy'!$B$26</f>
        <v>0.56558521936756767</v>
      </c>
      <c r="F20" s="327" t="str">
        <f t="shared" si="0"/>
        <v>&lt;100</v>
      </c>
      <c r="G20" s="333">
        <f>'Summary_Marine Renewable Energy'!$B$31</f>
        <v>0.15425557185868188</v>
      </c>
      <c r="H20" s="358" t="str">
        <f>IF(Table2[[#This Row],[Column4]]="Unknown","Unknown",IF(Table2[[#This Row],[Column4]]&lt;10,"0-10",IF(Table2[[#This Row],[Column4]]&lt;50,"10-50",IF(Table2[[#This Row],[Column4]]&lt;100,"50-100","&gt;100"))))</f>
        <v>0-10</v>
      </c>
      <c r="I20" s="328">
        <v>0.106</v>
      </c>
      <c r="J20" s="329">
        <v>6</v>
      </c>
      <c r="K20" s="319" t="b">
        <v>1</v>
      </c>
      <c r="L20" s="318" t="b">
        <v>0</v>
      </c>
      <c r="M20" s="319" t="b">
        <v>1</v>
      </c>
      <c r="N20" s="318" t="b">
        <v>0</v>
      </c>
      <c r="O20" s="319" t="b">
        <v>1</v>
      </c>
      <c r="P20" s="318" t="b">
        <v>0</v>
      </c>
    </row>
    <row r="21" spans="1:16" ht="75" customHeight="1" thickTop="1" thickBot="1" x14ac:dyDescent="0.4">
      <c r="A21" s="352" t="s">
        <v>375</v>
      </c>
      <c r="B21" s="354" t="s">
        <v>376</v>
      </c>
      <c r="C21" s="353" t="s">
        <v>362</v>
      </c>
      <c r="D21" s="333">
        <f>'Summary_Marine Renewable Energy'!$B$36</f>
        <v>8.8879572892666098E-2</v>
      </c>
      <c r="E21" s="332">
        <f>'Summary_Marine Renewable Energy'!$B$37</f>
        <v>0.63899345730139123</v>
      </c>
      <c r="F21" s="327" t="str">
        <f t="shared" si="0"/>
        <v>&lt;100</v>
      </c>
      <c r="G21" s="333">
        <f>'Summary_Marine Renewable Energy'!$B$42</f>
        <v>0.18072194368788994</v>
      </c>
      <c r="H21" s="358" t="str">
        <f>IF(Table2[[#This Row],[Column4]]="Unknown","Unknown",IF(Table2[[#This Row],[Column4]]&lt;10,"0-10",IF(Table2[[#This Row],[Column4]]&lt;50,"10-50",IF(Table2[[#This Row],[Column4]]&lt;100,"50-100","&gt;100"))))</f>
        <v>0-10</v>
      </c>
      <c r="I21" s="328">
        <v>0.16900000000000001</v>
      </c>
      <c r="J21" s="329">
        <v>6</v>
      </c>
      <c r="K21" s="319" t="b">
        <v>1</v>
      </c>
      <c r="L21" s="318" t="b">
        <v>0</v>
      </c>
      <c r="M21" s="319" t="b">
        <v>1</v>
      </c>
      <c r="N21" s="318" t="b">
        <v>0</v>
      </c>
      <c r="O21" s="319" t="b">
        <v>1</v>
      </c>
      <c r="P21" s="318" t="b">
        <v>0</v>
      </c>
    </row>
    <row r="22" spans="1:16" ht="75" customHeight="1" thickTop="1" thickBot="1" x14ac:dyDescent="0.4">
      <c r="A22" s="352" t="s">
        <v>377</v>
      </c>
      <c r="B22" s="354" t="s">
        <v>378</v>
      </c>
      <c r="C22" s="353" t="s">
        <v>362</v>
      </c>
      <c r="D22" s="333">
        <f>'Summary_Marine Renewable Energy'!$B$14</f>
        <v>2.5890912065840606E-2</v>
      </c>
      <c r="E22" s="333">
        <f>'Summary_Marine Renewable Energy'!$B$15</f>
        <v>0.1040260277758597</v>
      </c>
      <c r="F22" s="327" t="str">
        <f t="shared" si="0"/>
        <v>&lt;100</v>
      </c>
      <c r="G22" s="333">
        <f>'Summary_Marine Renewable Energy'!$B$20</f>
        <v>0.54309297661741696</v>
      </c>
      <c r="H22" s="358" t="str">
        <f>IF(Table2[[#This Row],[Column4]]="Unknown","Unknown",IF(Table2[[#This Row],[Column4]]&lt;10,"0-10",IF(Table2[[#This Row],[Column4]]&lt;50,"10-50",IF(Table2[[#This Row],[Column4]]&lt;100,"50-100","&gt;100"))))</f>
        <v>0-10</v>
      </c>
      <c r="I22" s="328">
        <v>0.106</v>
      </c>
      <c r="J22" s="326">
        <v>9</v>
      </c>
      <c r="K22" s="319" t="b">
        <v>1</v>
      </c>
      <c r="L22" s="318" t="b">
        <v>0</v>
      </c>
      <c r="M22" s="319" t="b">
        <v>1</v>
      </c>
      <c r="N22" s="318" t="b">
        <v>0</v>
      </c>
      <c r="O22" s="319" t="b">
        <v>1</v>
      </c>
      <c r="P22" s="318" t="b">
        <v>0</v>
      </c>
    </row>
    <row r="23" spans="1:16" ht="75" customHeight="1" thickTop="1" thickBot="1" x14ac:dyDescent="0.4">
      <c r="A23" s="352" t="s">
        <v>379</v>
      </c>
      <c r="B23" s="354" t="s">
        <v>380</v>
      </c>
      <c r="C23" s="353" t="s">
        <v>362</v>
      </c>
      <c r="D23" s="333">
        <f>'Summary_Marine Renewable Energy'!$B$57</f>
        <v>1.6106823429939864E-2</v>
      </c>
      <c r="E23" s="333">
        <f>'Summary_Marine Renewable Energy'!$B$58</f>
        <v>6.4956921684223137E-2</v>
      </c>
      <c r="F23" s="327" t="str">
        <f t="shared" si="0"/>
        <v>&lt;100</v>
      </c>
      <c r="G23" s="363" t="s">
        <v>356</v>
      </c>
      <c r="H23" s="366" t="str">
        <f>IF(Table2[[#This Row],[Column4]]="Unknown","Unknown",IF(Table2[[#This Row],[Column4]]&lt;10,"0-10",IF(Table2[[#This Row],[Column4]]&lt;50,"10-50",IF(Table2[[#This Row],[Column4]]&lt;100,"50-100","&gt;100"))))</f>
        <v>Unknown</v>
      </c>
      <c r="I23" s="365" t="s">
        <v>356</v>
      </c>
      <c r="J23" s="329">
        <v>4</v>
      </c>
      <c r="K23" s="319" t="b">
        <v>1</v>
      </c>
      <c r="L23" s="318" t="b">
        <v>0</v>
      </c>
      <c r="M23" s="319" t="b">
        <v>1</v>
      </c>
      <c r="N23" s="318" t="b">
        <v>0</v>
      </c>
      <c r="O23" s="319" t="b">
        <v>1</v>
      </c>
      <c r="P23" s="318" t="b">
        <v>0</v>
      </c>
    </row>
    <row r="24" spans="1:16" ht="75" customHeight="1" thickTop="1" thickBot="1" x14ac:dyDescent="0.4">
      <c r="A24" s="352" t="s">
        <v>381</v>
      </c>
      <c r="B24" s="354" t="s">
        <v>382</v>
      </c>
      <c r="C24" s="353" t="s">
        <v>354</v>
      </c>
      <c r="D24" s="333">
        <f>'Summary_Macroalgae Products'!$B$3</f>
        <v>5.1452891223876876E-3</v>
      </c>
      <c r="E24" s="333">
        <f>'Summary_Macroalgae Products'!$B$4</f>
        <v>2.395406925951667E-2</v>
      </c>
      <c r="F24" s="327" t="str">
        <f t="shared" si="0"/>
        <v>&lt;100</v>
      </c>
      <c r="G24" s="333">
        <f>'Summary_Macroalgae Products'!$B$6</f>
        <v>0.73299999999999998</v>
      </c>
      <c r="H24" s="358" t="str">
        <f>IF(Table2[[#This Row],[Column4]]="Unknown","Unknown",IF(Table2[[#This Row],[Column4]]&lt;10,"0-10",IF(Table2[[#This Row],[Column4]]&lt;50,"10-50",IF(Table2[[#This Row],[Column4]]&lt;100,"50-100","&gt;100"))))</f>
        <v>0-10</v>
      </c>
      <c r="I24" s="334">
        <v>0.104</v>
      </c>
      <c r="J24" s="324" t="s">
        <v>356</v>
      </c>
      <c r="K24" s="319" t="b">
        <v>1</v>
      </c>
      <c r="L24" s="319" t="b">
        <v>1</v>
      </c>
      <c r="M24" s="319" t="b">
        <v>1</v>
      </c>
      <c r="N24" s="319" t="b">
        <v>1</v>
      </c>
      <c r="O24" s="318" t="b">
        <v>0</v>
      </c>
      <c r="P24" s="319" t="b">
        <v>1</v>
      </c>
    </row>
    <row r="25" spans="1:16" ht="75" customHeight="1" thickTop="1" thickBot="1" x14ac:dyDescent="0.4">
      <c r="A25" s="352" t="s">
        <v>202</v>
      </c>
      <c r="B25" s="354" t="s">
        <v>383</v>
      </c>
      <c r="C25" s="353" t="s">
        <v>359</v>
      </c>
      <c r="D25" s="335">
        <f>'Summary_Ecosystem Protection'!$B$12</f>
        <v>4.5281286245579446E-3</v>
      </c>
      <c r="E25" s="333">
        <f>'Summary_Ecosystem Protection'!$B$13</f>
        <v>5.0063991685786256E-2</v>
      </c>
      <c r="F25" s="327" t="str">
        <f t="shared" si="0"/>
        <v>&lt;100</v>
      </c>
      <c r="G25" s="363" t="s">
        <v>356</v>
      </c>
      <c r="H25" s="366" t="str">
        <f>IF(Table2[[#This Row],[Column4]]="Unknown","Unknown",IF(Table2[[#This Row],[Column4]]&lt;10,"0-10",IF(Table2[[#This Row],[Column4]]&lt;50,"10-50",IF(Table2[[#This Row],[Column4]]&lt;100,"50-100","&gt;100"))))</f>
        <v>Unknown</v>
      </c>
      <c r="I25" s="365" t="s">
        <v>356</v>
      </c>
      <c r="J25" s="326">
        <v>9</v>
      </c>
      <c r="K25" s="319" t="b">
        <v>1</v>
      </c>
      <c r="L25" s="319" t="b">
        <v>1</v>
      </c>
      <c r="M25" s="319" t="b">
        <v>1</v>
      </c>
      <c r="N25" s="319" t="b">
        <v>1</v>
      </c>
      <c r="O25" s="318" t="b">
        <v>0</v>
      </c>
      <c r="P25" s="318" t="b">
        <v>0</v>
      </c>
    </row>
    <row r="26" spans="1:16" ht="75" customHeight="1" thickTop="1" thickBot="1" x14ac:dyDescent="0.4">
      <c r="A26" s="352" t="s">
        <v>384</v>
      </c>
      <c r="B26" s="354" t="s">
        <v>385</v>
      </c>
      <c r="C26" s="353" t="s">
        <v>354</v>
      </c>
      <c r="D26" s="335">
        <f>'Summary_Macroalgae Products'!$B$12</f>
        <v>4.0191270186018058E-3</v>
      </c>
      <c r="E26" s="333">
        <f>'Summary_Macroalgae Products'!$B$13</f>
        <v>1.8711183118453399E-2</v>
      </c>
      <c r="F26" s="327" t="str">
        <f t="shared" si="0"/>
        <v>&lt;100</v>
      </c>
      <c r="G26" s="335">
        <f>'Summary_Macroalgae Products'!$B$17</f>
        <v>2.1626122706107971</v>
      </c>
      <c r="H26" s="358" t="str">
        <f>IF(Table2[[#This Row],[Column4]]="Unknown","Unknown",IF(Table2[[#This Row],[Column4]]&lt;10,"0-10",IF(Table2[[#This Row],[Column4]]&lt;50,"10-50",IF(Table2[[#This Row],[Column4]]&lt;100,"50-100","&gt;100"))))</f>
        <v>0-10</v>
      </c>
      <c r="I26" s="330">
        <v>0.13100000000000001</v>
      </c>
      <c r="J26" s="331">
        <v>7</v>
      </c>
      <c r="K26" s="319" t="b">
        <v>1</v>
      </c>
      <c r="L26" s="319" t="b">
        <v>1</v>
      </c>
      <c r="M26" s="319" t="b">
        <v>1</v>
      </c>
      <c r="N26" s="319" t="b">
        <v>1</v>
      </c>
      <c r="O26" s="318" t="b">
        <v>0</v>
      </c>
      <c r="P26" s="319" t="b">
        <v>1</v>
      </c>
    </row>
    <row r="27" spans="1:16" ht="15.5" thickTop="1" thickBot="1" x14ac:dyDescent="0.4"/>
    <row r="28" spans="1:16" ht="55" customHeight="1" thickBot="1" x14ac:dyDescent="0.4">
      <c r="D28" s="367" t="s">
        <v>386</v>
      </c>
      <c r="E28" s="368" t="s">
        <v>387</v>
      </c>
      <c r="F28" s="369" t="s">
        <v>388</v>
      </c>
    </row>
  </sheetData>
  <sheetProtection selectLockedCells="1" sort="0" autoFilter="0" pivotTables="0"/>
  <mergeCells count="11">
    <mergeCell ref="A1:A2"/>
    <mergeCell ref="K1:P1"/>
    <mergeCell ref="C1:C2"/>
    <mergeCell ref="D1:D2"/>
    <mergeCell ref="G1:G2"/>
    <mergeCell ref="I1:I2"/>
    <mergeCell ref="H1:H2"/>
    <mergeCell ref="J1:J2"/>
    <mergeCell ref="B1:B2"/>
    <mergeCell ref="E1:E2"/>
    <mergeCell ref="F1:F2"/>
  </mergeCells>
  <phoneticPr fontId="8" type="noConversion"/>
  <conditionalFormatting sqref="D1:E1 D2 D3:E3 D2843:E1048576">
    <cfRule type="cellIs" dxfId="129" priority="53" operator="between">
      <formula>0.5</formula>
      <formula>1</formula>
    </cfRule>
    <cfRule type="cellIs" dxfId="128" priority="54" operator="lessThan">
      <formula>0.5</formula>
    </cfRule>
  </conditionalFormatting>
  <conditionalFormatting sqref="D3:E3 D2843:E1048576">
    <cfRule type="cellIs" dxfId="127" priority="55" operator="greaterThan">
      <formula>1</formula>
    </cfRule>
  </conditionalFormatting>
  <conditionalFormatting sqref="G9">
    <cfRule type="containsText" dxfId="123" priority="1" operator="containsText" text="&lt;10">
      <formula>NOT(ISERROR(SEARCH("&lt;10",G9)))</formula>
    </cfRule>
    <cfRule type="containsText" dxfId="122" priority="2" operator="containsText" text="10-50">
      <formula>NOT(ISERROR(SEARCH("10-50",G9)))</formula>
    </cfRule>
    <cfRule type="containsText" dxfId="121" priority="3" operator="containsText" text="50-100">
      <formula>NOT(ISERROR(SEARCH("50-100",G9)))</formula>
    </cfRule>
    <cfRule type="containsText" dxfId="120" priority="4" operator="containsText" text="100-200">
      <formula>NOT(ISERROR(SEARCH("100-200",G9)))</formula>
    </cfRule>
    <cfRule type="containsText" dxfId="119" priority="5" operator="containsText" text="200-500">
      <formula>NOT(ISERROR(SEARCH("200-500",G9)))</formula>
    </cfRule>
    <cfRule type="containsText" dxfId="118" priority="6" operator="containsText" text="&gt;500">
      <formula>NOT(ISERROR(SEARCH("&gt;500",G9)))</formula>
    </cfRule>
  </conditionalFormatting>
  <conditionalFormatting sqref="G13:G14">
    <cfRule type="containsText" dxfId="117" priority="33" operator="containsText" text="50-100">
      <formula>NOT(ISERROR(SEARCH("50-100",G13)))</formula>
    </cfRule>
    <cfRule type="containsText" dxfId="116" priority="36" operator="containsText" text="&gt;500">
      <formula>NOT(ISERROR(SEARCH("&gt;500",G13)))</formula>
    </cfRule>
    <cfRule type="containsText" dxfId="115" priority="35" operator="containsText" text="200-500">
      <formula>NOT(ISERROR(SEARCH("200-500",G13)))</formula>
    </cfRule>
    <cfRule type="containsText" dxfId="114" priority="34" operator="containsText" text="100-200">
      <formula>NOT(ISERROR(SEARCH("100-200",G13)))</formula>
    </cfRule>
    <cfRule type="containsText" dxfId="113" priority="31" operator="containsText" text="&lt;10">
      <formula>NOT(ISERROR(SEARCH("&lt;10",G13)))</formula>
    </cfRule>
    <cfRule type="containsText" dxfId="112" priority="32" operator="containsText" text="10-50">
      <formula>NOT(ISERROR(SEARCH("10-50",G13)))</formula>
    </cfRule>
  </conditionalFormatting>
  <conditionalFormatting sqref="G18">
    <cfRule type="containsText" dxfId="111" priority="27" operator="containsText" text="50-100">
      <formula>NOT(ISERROR(SEARCH("50-100",G18)))</formula>
    </cfRule>
    <cfRule type="containsText" dxfId="110" priority="28" operator="containsText" text="100-200">
      <formula>NOT(ISERROR(SEARCH("100-200",G18)))</formula>
    </cfRule>
    <cfRule type="containsText" dxfId="109" priority="29" operator="containsText" text="200-500">
      <formula>NOT(ISERROR(SEARCH("200-500",G18)))</formula>
    </cfRule>
    <cfRule type="containsText" dxfId="108" priority="30" operator="containsText" text="&gt;500">
      <formula>NOT(ISERROR(SEARCH("&gt;500",G18)))</formula>
    </cfRule>
    <cfRule type="containsText" dxfId="107" priority="25" operator="containsText" text="&lt;10">
      <formula>NOT(ISERROR(SEARCH("&lt;10",G18)))</formula>
    </cfRule>
    <cfRule type="containsText" dxfId="106" priority="26" operator="containsText" text="10-50">
      <formula>NOT(ISERROR(SEARCH("10-50",G18)))</formula>
    </cfRule>
  </conditionalFormatting>
  <conditionalFormatting sqref="G23">
    <cfRule type="containsText" dxfId="105" priority="23" operator="containsText" text="200-500">
      <formula>NOT(ISERROR(SEARCH("200-500",G23)))</formula>
    </cfRule>
    <cfRule type="containsText" dxfId="104" priority="24" operator="containsText" text="&gt;500">
      <formula>NOT(ISERROR(SEARCH("&gt;500",G23)))</formula>
    </cfRule>
    <cfRule type="containsText" dxfId="103" priority="19" operator="containsText" text="&lt;10">
      <formula>NOT(ISERROR(SEARCH("&lt;10",G23)))</formula>
    </cfRule>
    <cfRule type="containsText" dxfId="102" priority="20" operator="containsText" text="10-50">
      <formula>NOT(ISERROR(SEARCH("10-50",G23)))</formula>
    </cfRule>
    <cfRule type="containsText" dxfId="101" priority="21" operator="containsText" text="50-100">
      <formula>NOT(ISERROR(SEARCH("50-100",G23)))</formula>
    </cfRule>
    <cfRule type="containsText" dxfId="100" priority="22" operator="containsText" text="100-200">
      <formula>NOT(ISERROR(SEARCH("100-200",G23)))</formula>
    </cfRule>
  </conditionalFormatting>
  <conditionalFormatting sqref="G25">
    <cfRule type="containsText" dxfId="99" priority="16" operator="containsText" text="100-200">
      <formula>NOT(ISERROR(SEARCH("100-200",G25)))</formula>
    </cfRule>
    <cfRule type="containsText" dxfId="98" priority="15" operator="containsText" text="50-100">
      <formula>NOT(ISERROR(SEARCH("50-100",G25)))</formula>
    </cfRule>
    <cfRule type="containsText" dxfId="97" priority="14" operator="containsText" text="10-50">
      <formula>NOT(ISERROR(SEARCH("10-50",G25)))</formula>
    </cfRule>
    <cfRule type="containsText" dxfId="96" priority="13" operator="containsText" text="&lt;10">
      <formula>NOT(ISERROR(SEARCH("&lt;10",G25)))</formula>
    </cfRule>
    <cfRule type="containsText" dxfId="95" priority="18" operator="containsText" text="&gt;500">
      <formula>NOT(ISERROR(SEARCH("&gt;500",G25)))</formula>
    </cfRule>
    <cfRule type="containsText" dxfId="94" priority="17" operator="containsText" text="200-500">
      <formula>NOT(ISERROR(SEARCH("200-500",G25)))</formula>
    </cfRule>
  </conditionalFormatting>
  <conditionalFormatting sqref="H1:H3 H27:H1048576">
    <cfRule type="containsText" dxfId="93" priority="56" operator="containsText" text="50-100">
      <formula>NOT(ISERROR(SEARCH("50-100",H1)))</formula>
    </cfRule>
    <cfRule type="containsText" dxfId="92" priority="57" operator="containsText" text="10-50">
      <formula>NOT(ISERROR(SEARCH("10-50",H1)))</formula>
    </cfRule>
    <cfRule type="containsText" dxfId="91" priority="58" operator="containsText" text="0-10">
      <formula>NOT(ISERROR(SEARCH("0-10",H1)))</formula>
    </cfRule>
    <cfRule type="expression" dxfId="90" priority="59">
      <formula>"0-10"</formula>
    </cfRule>
    <cfRule type="containsText" dxfId="89" priority="60" operator="containsText" text="&lt;10">
      <formula>NOT(ISERROR(SEARCH("&lt;10",H1)))</formula>
    </cfRule>
    <cfRule type="containsText" dxfId="88" priority="61" operator="containsText" text="10-50">
      <formula>NOT(ISERROR(SEARCH("10-50",H1)))</formula>
    </cfRule>
    <cfRule type="containsText" dxfId="87" priority="62" operator="containsText" text="50-100">
      <formula>NOT(ISERROR(SEARCH("50-100",H1)))</formula>
    </cfRule>
    <cfRule type="containsText" dxfId="86" priority="63" operator="containsText" text="100-200">
      <formula>NOT(ISERROR(SEARCH("100-200",H1)))</formula>
    </cfRule>
  </conditionalFormatting>
  <conditionalFormatting sqref="H3:I3">
    <cfRule type="containsText" dxfId="85" priority="64" operator="containsText" text="200-500">
      <formula>NOT(ISERROR(SEARCH("200-500",H3)))</formula>
    </cfRule>
    <cfRule type="containsText" dxfId="84" priority="65" operator="containsText" text="&gt;500">
      <formula>NOT(ISERROR(SEARCH("&gt;500",H3)))</formula>
    </cfRule>
  </conditionalFormatting>
  <conditionalFormatting sqref="H27:I1048576 I4:I26">
    <cfRule type="containsText" dxfId="83" priority="66" operator="containsText" text="&lt;10">
      <formula>NOT(ISERROR(SEARCH("&lt;10",H4)))</formula>
    </cfRule>
  </conditionalFormatting>
  <conditionalFormatting sqref="I4:I26 H27:I1048576">
    <cfRule type="containsText" dxfId="82" priority="67" operator="containsText" text="10-50">
      <formula>NOT(ISERROR(SEARCH("10-50",H4)))</formula>
    </cfRule>
    <cfRule type="containsText" dxfId="81" priority="68" operator="containsText" text="50-100">
      <formula>NOT(ISERROR(SEARCH("50-100",H4)))</formula>
    </cfRule>
    <cfRule type="containsText" dxfId="80" priority="69" operator="containsText" text="100-200">
      <formula>NOT(ISERROR(SEARCH("100-200",H4)))</formula>
    </cfRule>
    <cfRule type="containsText" dxfId="79" priority="70" operator="containsText" text="200-500">
      <formula>NOT(ISERROR(SEARCH("200-500",H4)))</formula>
    </cfRule>
    <cfRule type="containsText" dxfId="78" priority="71" operator="containsText" text="&gt;500">
      <formula>NOT(ISERROR(SEARCH("&gt;500",H4)))</formula>
    </cfRule>
  </conditionalFormatting>
  <pageMargins left="0.7" right="0.7" top="0.75" bottom="0.75" header="0.3" footer="0.3"/>
  <pageSetup scale="24" orientation="landscape" r:id="rId1"/>
  <webPublishItems count="1">
    <webPublishItem id="25306" divId="Reduce_2024_Landscape_Scan_Matrix_clean20250313_25306" sourceType="range" sourceRef="A1:J26" destinationFile="C:\Users\Amelia-JulietteDemer\OneDrive - Ocean Visions\reduce\reduce_2024_landscape_scan_matrix\visuals\Reduce_2024_Landscape_Scan_Matrix_clean20250313.htm"/>
  </webPublishItems>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50" operator="containsText" id="{988DE568-36CE-4FD5-BF40-4F83C71BA0D1}">
            <xm:f>NOT(ISERROR(SEARCH("100-500",E1)))</xm:f>
            <xm:f>"100-500"</xm:f>
            <x14:dxf>
              <fill>
                <patternFill>
                  <bgColor theme="8"/>
                </patternFill>
              </fill>
            </x14:dxf>
          </x14:cfRule>
          <x14:cfRule type="containsText" priority="49" operator="containsText" id="{93E516D0-3150-463D-979A-0F9D056422F1}">
            <xm:f>NOT(ISERROR(SEARCH("&gt;500",E1)))</xm:f>
            <xm:f>"&gt;500"</xm:f>
            <x14:dxf>
              <fill>
                <patternFill>
                  <bgColor theme="9" tint="0.39994506668294322"/>
                </patternFill>
              </fill>
            </x14:dxf>
          </x14:cfRule>
          <x14:cfRule type="containsText" priority="51" operator="containsText" id="{AC5AABEE-ECC8-4786-803D-6958BA63F7B1}">
            <xm:f>NOT(ISERROR(SEARCH("&lt;100",E1)))</xm:f>
            <xm:f>"&lt;100"</xm:f>
            <x14:dxf>
              <font>
                <color rgb="FFFF0000"/>
              </font>
              <fill>
                <patternFill>
                  <bgColor rgb="FFFFCCCC"/>
                </patternFill>
              </fill>
            </x14:dxf>
          </x14:cfRule>
          <xm:sqref>F1:F3 F27 E28 F29:F1048576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5FD54-57B8-476C-B33E-0514CC430AA7}">
  <sheetPr>
    <tabColor theme="5"/>
  </sheetPr>
  <dimension ref="A1:E77"/>
  <sheetViews>
    <sheetView topLeftCell="A54" workbookViewId="0">
      <selection activeCell="A72" activeCellId="6" sqref="A9 A20 A31 A42 A52 A60 A72"/>
    </sheetView>
  </sheetViews>
  <sheetFormatPr defaultColWidth="8.81640625" defaultRowHeight="15" customHeight="1" x14ac:dyDescent="0.35"/>
  <cols>
    <col min="1" max="1" width="43" bestFit="1" customWidth="1"/>
    <col min="2" max="2" width="29.7265625" style="6" customWidth="1"/>
    <col min="3" max="3" width="49.1796875" style="222" bestFit="1" customWidth="1"/>
  </cols>
  <sheetData>
    <row r="1" spans="1:5" ht="14.5" customHeight="1" x14ac:dyDescent="0.35">
      <c r="A1" s="428" t="s">
        <v>344</v>
      </c>
      <c r="B1" s="428"/>
      <c r="C1" s="428"/>
    </row>
    <row r="2" spans="1:5" ht="14.5" customHeight="1" x14ac:dyDescent="0.35">
      <c r="A2" s="233" t="s">
        <v>389</v>
      </c>
      <c r="B2" s="228" t="s">
        <v>390</v>
      </c>
      <c r="C2" s="228" t="s">
        <v>391</v>
      </c>
    </row>
    <row r="3" spans="1:5" ht="14.5" x14ac:dyDescent="0.35">
      <c r="A3" s="176" t="s">
        <v>392</v>
      </c>
      <c r="B3" s="320">
        <f>CO2_Potential_MRE!$B$85</f>
        <v>3.9488491110827981</v>
      </c>
      <c r="C3" s="246"/>
    </row>
    <row r="4" spans="1:5" ht="14.5" x14ac:dyDescent="0.35">
      <c r="A4" s="176" t="s">
        <v>393</v>
      </c>
      <c r="B4" s="320">
        <f>CO2_Potential_MRE!$B$84</f>
        <v>10.186182524485819</v>
      </c>
      <c r="C4" s="246"/>
    </row>
    <row r="5" spans="1:5" ht="14.5" x14ac:dyDescent="0.35">
      <c r="A5" s="176" t="s">
        <v>394</v>
      </c>
      <c r="B5" s="321">
        <v>43.6</v>
      </c>
      <c r="C5" s="246" t="s">
        <v>395</v>
      </c>
      <c r="E5" s="81" t="s">
        <v>396</v>
      </c>
    </row>
    <row r="6" spans="1:5" ht="58" x14ac:dyDescent="0.35">
      <c r="A6" s="176" t="s">
        <v>397</v>
      </c>
      <c r="B6" s="6">
        <v>21.5</v>
      </c>
      <c r="C6" s="338" t="s">
        <v>398</v>
      </c>
      <c r="E6" s="81"/>
    </row>
    <row r="7" spans="1:5" ht="14.5" x14ac:dyDescent="0.35">
      <c r="A7" s="176" t="s">
        <v>399</v>
      </c>
      <c r="B7" s="6">
        <v>2023</v>
      </c>
      <c r="C7" s="246"/>
      <c r="E7" s="81"/>
    </row>
    <row r="8" spans="1:5" ht="14.5" x14ac:dyDescent="0.35">
      <c r="A8" s="220" t="s">
        <v>316</v>
      </c>
      <c r="B8" s="230">
        <v>0.191</v>
      </c>
      <c r="C8" s="246" t="s">
        <v>395</v>
      </c>
    </row>
    <row r="9" spans="1:5" ht="14.5" x14ac:dyDescent="0.35">
      <c r="A9" s="223" t="s">
        <v>400</v>
      </c>
      <c r="B9" s="229">
        <f>B5*(1+B8)^(2030-B7)</f>
        <v>148.20703523656272</v>
      </c>
      <c r="C9" s="246"/>
    </row>
    <row r="10" spans="1:5" ht="14.5" x14ac:dyDescent="0.35">
      <c r="A10" s="220" t="s">
        <v>317</v>
      </c>
      <c r="B10" s="6">
        <v>9</v>
      </c>
      <c r="C10" s="246" t="s">
        <v>401</v>
      </c>
    </row>
    <row r="11" spans="1:5" ht="43.5" x14ac:dyDescent="0.35">
      <c r="A11" s="220" t="s">
        <v>318</v>
      </c>
      <c r="B11" s="6" t="s">
        <v>402</v>
      </c>
      <c r="C11" s="246" t="s">
        <v>403</v>
      </c>
      <c r="D11" s="81"/>
    </row>
    <row r="12" spans="1:5" ht="14.5" x14ac:dyDescent="0.35">
      <c r="A12" s="428" t="s">
        <v>377</v>
      </c>
      <c r="B12" s="428"/>
      <c r="C12" s="428"/>
    </row>
    <row r="13" spans="1:5" ht="14.5" x14ac:dyDescent="0.35">
      <c r="A13" s="233" t="s">
        <v>389</v>
      </c>
      <c r="B13" s="228" t="s">
        <v>390</v>
      </c>
      <c r="C13" s="228" t="s">
        <v>391</v>
      </c>
    </row>
    <row r="14" spans="1:5" ht="14.5" x14ac:dyDescent="0.35">
      <c r="A14" s="176" t="s">
        <v>392</v>
      </c>
      <c r="B14" s="320">
        <f>CO2_Potential_MRE!$B$61</f>
        <v>2.5890912065840606E-2</v>
      </c>
      <c r="C14" s="246"/>
    </row>
    <row r="15" spans="1:5" ht="14.5" x14ac:dyDescent="0.35">
      <c r="A15" s="176" t="s">
        <v>393</v>
      </c>
      <c r="B15" s="320">
        <f>CO2_Potential_MRE!$B$60</f>
        <v>0.1040260277758597</v>
      </c>
      <c r="C15" s="246"/>
    </row>
    <row r="16" spans="1:5" ht="14.5" x14ac:dyDescent="0.35">
      <c r="A16" s="176" t="s">
        <v>394</v>
      </c>
      <c r="B16" s="322">
        <f>35.3%*0.76</f>
        <v>0.26827999999999996</v>
      </c>
      <c r="C16" s="339" t="s">
        <v>404</v>
      </c>
    </row>
    <row r="17" spans="1:3" ht="43.5" x14ac:dyDescent="0.35">
      <c r="A17" s="176" t="s">
        <v>397</v>
      </c>
      <c r="B17" s="6">
        <v>0.28000000000000003</v>
      </c>
      <c r="C17" s="338" t="s">
        <v>405</v>
      </c>
    </row>
    <row r="18" spans="1:3" ht="14.5" x14ac:dyDescent="0.35">
      <c r="A18" s="176" t="s">
        <v>399</v>
      </c>
      <c r="B18" s="6">
        <v>2023</v>
      </c>
      <c r="C18" s="246"/>
    </row>
    <row r="19" spans="1:3" ht="14.5" x14ac:dyDescent="0.35">
      <c r="A19" s="220" t="s">
        <v>316</v>
      </c>
      <c r="B19" s="230">
        <v>0.106</v>
      </c>
      <c r="C19" s="339" t="s">
        <v>404</v>
      </c>
    </row>
    <row r="20" spans="1:3" ht="14.5" x14ac:dyDescent="0.35">
      <c r="A20" s="223" t="s">
        <v>400</v>
      </c>
      <c r="B20" s="229">
        <f>B16*(1+B19)^(2030-B18)</f>
        <v>0.54309297661741696</v>
      </c>
      <c r="C20" s="246"/>
    </row>
    <row r="21" spans="1:3" ht="14.5" x14ac:dyDescent="0.35">
      <c r="A21" s="220" t="s">
        <v>317</v>
      </c>
      <c r="B21" s="6">
        <v>9</v>
      </c>
      <c r="C21" s="339" t="s">
        <v>406</v>
      </c>
    </row>
    <row r="22" spans="1:3" ht="58" x14ac:dyDescent="0.35">
      <c r="A22" s="220" t="s">
        <v>318</v>
      </c>
      <c r="B22" s="6" t="s">
        <v>407</v>
      </c>
      <c r="C22" s="246" t="s">
        <v>408</v>
      </c>
    </row>
    <row r="23" spans="1:3" ht="14.5" x14ac:dyDescent="0.35">
      <c r="A23" s="428" t="s">
        <v>373</v>
      </c>
      <c r="B23" s="428"/>
      <c r="C23" s="428"/>
    </row>
    <row r="24" spans="1:3" ht="14.5" x14ac:dyDescent="0.35">
      <c r="A24" s="234" t="s">
        <v>389</v>
      </c>
      <c r="B24" s="228" t="s">
        <v>390</v>
      </c>
      <c r="C24" s="226" t="s">
        <v>391</v>
      </c>
    </row>
    <row r="25" spans="1:3" ht="14.5" x14ac:dyDescent="0.35">
      <c r="A25" s="176" t="s">
        <v>392</v>
      </c>
      <c r="B25" s="320">
        <f>CO2_Potential_MRE!$B$48</f>
        <v>9.4708635189563795E-2</v>
      </c>
      <c r="C25" s="246"/>
    </row>
    <row r="26" spans="1:3" ht="14.5" x14ac:dyDescent="0.35">
      <c r="A26" s="176" t="s">
        <v>393</v>
      </c>
      <c r="B26" s="320">
        <f>CO2_Potential_MRE!$B$47</f>
        <v>0.56558521936756767</v>
      </c>
      <c r="C26" s="340"/>
    </row>
    <row r="27" spans="1:3" ht="14.5" x14ac:dyDescent="0.35">
      <c r="A27" s="176" t="s">
        <v>394</v>
      </c>
      <c r="B27" s="322">
        <v>7.6200000000000004E-2</v>
      </c>
      <c r="C27" s="339" t="s">
        <v>404</v>
      </c>
    </row>
    <row r="28" spans="1:3" ht="58" x14ac:dyDescent="0.35">
      <c r="A28" s="176" t="s">
        <v>397</v>
      </c>
      <c r="B28" s="229">
        <v>3.9E-2</v>
      </c>
      <c r="C28" s="338" t="s">
        <v>398</v>
      </c>
    </row>
    <row r="29" spans="1:3" ht="14.5" x14ac:dyDescent="0.35">
      <c r="A29" s="176" t="s">
        <v>399</v>
      </c>
      <c r="B29" s="6">
        <v>2023</v>
      </c>
      <c r="C29" s="246"/>
    </row>
    <row r="30" spans="1:3" ht="14.5" x14ac:dyDescent="0.35">
      <c r="A30" s="220" t="s">
        <v>316</v>
      </c>
      <c r="B30" s="230">
        <v>0.106</v>
      </c>
      <c r="C30" s="339" t="s">
        <v>404</v>
      </c>
    </row>
    <row r="31" spans="1:3" ht="14.5" x14ac:dyDescent="0.35">
      <c r="A31" s="223" t="s">
        <v>400</v>
      </c>
      <c r="B31" s="229">
        <f>B27*(1+B30)^(2030-B29)</f>
        <v>0.15425557185868188</v>
      </c>
      <c r="C31" s="246"/>
    </row>
    <row r="32" spans="1:3" ht="14.5" x14ac:dyDescent="0.35">
      <c r="A32" s="220" t="s">
        <v>317</v>
      </c>
      <c r="B32" s="6">
        <v>6</v>
      </c>
      <c r="C32" s="339" t="s">
        <v>406</v>
      </c>
    </row>
    <row r="33" spans="1:3" ht="58" x14ac:dyDescent="0.35">
      <c r="A33" s="220" t="s">
        <v>318</v>
      </c>
      <c r="B33" s="6" t="s">
        <v>409</v>
      </c>
      <c r="C33" s="246" t="s">
        <v>408</v>
      </c>
    </row>
    <row r="34" spans="1:3" ht="14.5" x14ac:dyDescent="0.35">
      <c r="A34" s="428" t="s">
        <v>375</v>
      </c>
      <c r="B34" s="428"/>
      <c r="C34" s="428"/>
    </row>
    <row r="35" spans="1:3" ht="14.5" x14ac:dyDescent="0.35">
      <c r="A35" s="233" t="s">
        <v>389</v>
      </c>
      <c r="B35" s="228" t="s">
        <v>390</v>
      </c>
      <c r="C35" s="228" t="s">
        <v>391</v>
      </c>
    </row>
    <row r="36" spans="1:3" ht="14.5" x14ac:dyDescent="0.35">
      <c r="A36" s="176" t="s">
        <v>392</v>
      </c>
      <c r="B36" s="323">
        <f>CO2_Potential_MRE!$B$73</f>
        <v>8.8879572892666098E-2</v>
      </c>
      <c r="C36" s="246"/>
    </row>
    <row r="37" spans="1:3" ht="14.5" x14ac:dyDescent="0.35">
      <c r="A37" s="176" t="s">
        <v>393</v>
      </c>
      <c r="B37" s="320">
        <f>CO2_Potential_MRE!$B72</f>
        <v>0.63899345730139123</v>
      </c>
      <c r="C37" s="340"/>
    </row>
    <row r="38" spans="1:3" ht="14.5" x14ac:dyDescent="0.35">
      <c r="A38" s="176" t="s">
        <v>394</v>
      </c>
      <c r="B38" s="321">
        <v>0.06</v>
      </c>
      <c r="C38" s="341" t="s">
        <v>410</v>
      </c>
    </row>
    <row r="39" spans="1:3" ht="58" x14ac:dyDescent="0.35">
      <c r="A39" s="176" t="s">
        <v>397</v>
      </c>
      <c r="B39" s="229">
        <v>0.02</v>
      </c>
      <c r="C39" s="338" t="s">
        <v>398</v>
      </c>
    </row>
    <row r="40" spans="1:3" ht="14.5" x14ac:dyDescent="0.35">
      <c r="A40" s="176" t="s">
        <v>399</v>
      </c>
      <c r="B40" s="6">
        <v>2023</v>
      </c>
      <c r="C40" s="341"/>
    </row>
    <row r="41" spans="1:3" ht="14.5" x14ac:dyDescent="0.35">
      <c r="A41" s="220" t="s">
        <v>316</v>
      </c>
      <c r="B41" s="230">
        <v>0.1706</v>
      </c>
      <c r="C41" s="341" t="s">
        <v>410</v>
      </c>
    </row>
    <row r="42" spans="1:3" ht="14.5" x14ac:dyDescent="0.35">
      <c r="A42" s="223" t="s">
        <v>400</v>
      </c>
      <c r="B42" s="229">
        <f>B38*(1+B41)^(2030-B40)</f>
        <v>0.18072194368788994</v>
      </c>
      <c r="C42" s="246"/>
    </row>
    <row r="43" spans="1:3" ht="14.5" x14ac:dyDescent="0.35">
      <c r="A43" s="220" t="s">
        <v>317</v>
      </c>
      <c r="B43" s="6">
        <v>6</v>
      </c>
      <c r="C43" s="339" t="s">
        <v>406</v>
      </c>
    </row>
    <row r="44" spans="1:3" ht="87" x14ac:dyDescent="0.35">
      <c r="A44" s="220" t="s">
        <v>318</v>
      </c>
      <c r="B44" s="6" t="s">
        <v>411</v>
      </c>
      <c r="C44" s="246" t="s">
        <v>408</v>
      </c>
    </row>
    <row r="45" spans="1:3" ht="14.5" x14ac:dyDescent="0.35">
      <c r="A45" s="428" t="s">
        <v>369</v>
      </c>
      <c r="B45" s="428"/>
      <c r="C45" s="428"/>
    </row>
    <row r="46" spans="1:3" ht="14.5" x14ac:dyDescent="0.35">
      <c r="A46" s="234" t="s">
        <v>389</v>
      </c>
      <c r="B46" s="228" t="s">
        <v>390</v>
      </c>
      <c r="C46" s="226" t="s">
        <v>391</v>
      </c>
    </row>
    <row r="47" spans="1:3" ht="14.5" x14ac:dyDescent="0.35">
      <c r="A47" s="176" t="s">
        <v>392</v>
      </c>
      <c r="B47" s="320">
        <f>CO2_Potential_MRE!$B$12</f>
        <v>0.17874106250352245</v>
      </c>
      <c r="C47" s="246"/>
    </row>
    <row r="48" spans="1:3" ht="14.5" x14ac:dyDescent="0.35">
      <c r="A48" s="176" t="s">
        <v>393</v>
      </c>
      <c r="B48" s="320">
        <f>CO2_Potential_MRE!$B11</f>
        <v>0.68778451430181964</v>
      </c>
      <c r="C48" s="340"/>
    </row>
    <row r="49" spans="1:3" ht="29" x14ac:dyDescent="0.35">
      <c r="A49" s="176" t="s">
        <v>394</v>
      </c>
      <c r="B49" s="6">
        <v>6.69</v>
      </c>
      <c r="C49" s="246" t="s">
        <v>412</v>
      </c>
    </row>
    <row r="50" spans="1:3" ht="14.5" x14ac:dyDescent="0.35">
      <c r="A50" s="176" t="s">
        <v>399</v>
      </c>
      <c r="B50" s="6">
        <v>2024</v>
      </c>
      <c r="C50" s="246"/>
    </row>
    <row r="51" spans="1:3" ht="29" x14ac:dyDescent="0.35">
      <c r="A51" s="220" t="s">
        <v>316</v>
      </c>
      <c r="B51" s="230">
        <v>0.27489999999999998</v>
      </c>
      <c r="C51" s="246" t="s">
        <v>412</v>
      </c>
    </row>
    <row r="52" spans="1:3" ht="14.5" x14ac:dyDescent="0.35">
      <c r="A52" s="223" t="s">
        <v>400</v>
      </c>
      <c r="B52" s="229">
        <f>B49*(1+B51)^(2030-B50)</f>
        <v>28.726508543813541</v>
      </c>
      <c r="C52" s="246"/>
    </row>
    <row r="53" spans="1:3" ht="14.5" x14ac:dyDescent="0.35">
      <c r="A53" s="220" t="s">
        <v>317</v>
      </c>
      <c r="B53" s="6">
        <v>7</v>
      </c>
      <c r="C53" s="339" t="s">
        <v>413</v>
      </c>
    </row>
    <row r="54" spans="1:3" ht="87" x14ac:dyDescent="0.35">
      <c r="A54" s="220" t="s">
        <v>318</v>
      </c>
      <c r="B54" s="6" t="s">
        <v>411</v>
      </c>
      <c r="C54" s="246" t="s">
        <v>408</v>
      </c>
    </row>
    <row r="55" spans="1:3" ht="14.5" x14ac:dyDescent="0.35">
      <c r="A55" s="428" t="s">
        <v>379</v>
      </c>
      <c r="B55" s="428"/>
      <c r="C55" s="428"/>
    </row>
    <row r="56" spans="1:3" ht="14.5" x14ac:dyDescent="0.35">
      <c r="A56" s="234" t="s">
        <v>389</v>
      </c>
      <c r="B56" s="228" t="s">
        <v>390</v>
      </c>
      <c r="C56" s="226" t="s">
        <v>391</v>
      </c>
    </row>
    <row r="57" spans="1:3" ht="14.5" customHeight="1" x14ac:dyDescent="0.35">
      <c r="A57" s="176" t="s">
        <v>392</v>
      </c>
      <c r="B57" s="323">
        <f>CO2_Potential_MRE!$B$36</f>
        <v>1.6106823429939864E-2</v>
      </c>
      <c r="C57" s="246"/>
    </row>
    <row r="58" spans="1:3" ht="14.5" x14ac:dyDescent="0.35">
      <c r="A58" s="176" t="s">
        <v>393</v>
      </c>
      <c r="B58" s="320">
        <f>CO2_Potential_MRE!$B35</f>
        <v>6.4956921684223137E-2</v>
      </c>
      <c r="C58" s="340"/>
    </row>
    <row r="59" spans="1:3" ht="29" x14ac:dyDescent="0.35">
      <c r="A59" s="176" t="s">
        <v>394</v>
      </c>
      <c r="B59" s="6">
        <v>0</v>
      </c>
      <c r="C59" s="342" t="s">
        <v>414</v>
      </c>
    </row>
    <row r="60" spans="1:3" ht="14.5" customHeight="1" x14ac:dyDescent="0.35">
      <c r="A60" s="223" t="s">
        <v>400</v>
      </c>
      <c r="B60" s="229" t="s">
        <v>356</v>
      </c>
      <c r="C60" s="246"/>
    </row>
    <row r="61" spans="1:3" ht="14.5" customHeight="1" x14ac:dyDescent="0.35">
      <c r="A61" s="220" t="s">
        <v>316</v>
      </c>
      <c r="B61" s="230" t="s">
        <v>356</v>
      </c>
      <c r="C61" s="342" t="s">
        <v>414</v>
      </c>
    </row>
    <row r="62" spans="1:3" ht="14.5" customHeight="1" x14ac:dyDescent="0.35">
      <c r="A62" s="220" t="s">
        <v>317</v>
      </c>
      <c r="B62" s="230"/>
      <c r="C62" s="246"/>
    </row>
    <row r="63" spans="1:3" ht="14.5" customHeight="1" x14ac:dyDescent="0.35">
      <c r="A63" s="220" t="s">
        <v>318</v>
      </c>
      <c r="B63" s="6" t="s">
        <v>415</v>
      </c>
      <c r="C63" s="246" t="s">
        <v>408</v>
      </c>
    </row>
    <row r="64" spans="1:3" ht="14.5" customHeight="1" x14ac:dyDescent="0.35">
      <c r="A64" s="428" t="s">
        <v>360</v>
      </c>
      <c r="B64" s="428"/>
      <c r="C64" s="428"/>
    </row>
    <row r="65" spans="1:3" ht="14.5" x14ac:dyDescent="0.35">
      <c r="A65" s="234" t="s">
        <v>389</v>
      </c>
      <c r="B65" s="228" t="s">
        <v>390</v>
      </c>
      <c r="C65" s="226" t="s">
        <v>391</v>
      </c>
    </row>
    <row r="66" spans="1:3" ht="14.5" x14ac:dyDescent="0.35">
      <c r="A66" s="176" t="s">
        <v>392</v>
      </c>
      <c r="B66" s="323">
        <f>CO2_Potential_MRE!$B$24</f>
        <v>0.51592356878883983</v>
      </c>
      <c r="C66" s="221"/>
    </row>
    <row r="67" spans="1:3" ht="14.5" x14ac:dyDescent="0.35">
      <c r="A67" s="176" t="s">
        <v>393</v>
      </c>
      <c r="B67" s="320">
        <f>CO2_Potential_MRE!$B23</f>
        <v>2.2021951960645909</v>
      </c>
      <c r="C67" s="340"/>
    </row>
    <row r="68" spans="1:3" ht="29" x14ac:dyDescent="0.35">
      <c r="A68" s="176" t="s">
        <v>394</v>
      </c>
      <c r="B68" s="260">
        <v>0.2</v>
      </c>
      <c r="C68" s="221" t="s">
        <v>416</v>
      </c>
    </row>
    <row r="69" spans="1:3" ht="58" x14ac:dyDescent="0.35">
      <c r="A69" s="176" t="s">
        <v>397</v>
      </c>
      <c r="B69" s="6">
        <v>2E-3</v>
      </c>
      <c r="C69" s="338" t="s">
        <v>417</v>
      </c>
    </row>
    <row r="70" spans="1:3" ht="15.75" customHeight="1" x14ac:dyDescent="0.35">
      <c r="A70" s="176" t="s">
        <v>399</v>
      </c>
      <c r="B70" s="6">
        <v>2023</v>
      </c>
      <c r="C70" s="221"/>
    </row>
    <row r="71" spans="1:3" ht="29" x14ac:dyDescent="0.35">
      <c r="A71" s="220" t="s">
        <v>316</v>
      </c>
      <c r="B71" s="230">
        <v>0.189</v>
      </c>
      <c r="C71" s="221" t="s">
        <v>416</v>
      </c>
    </row>
    <row r="72" spans="1:3" ht="14.5" x14ac:dyDescent="0.35">
      <c r="A72" s="223" t="s">
        <v>400</v>
      </c>
      <c r="B72" s="229">
        <f>B69*(1+B71)^(2030-B70)</f>
        <v>6.7189742701927232E-3</v>
      </c>
      <c r="C72" s="221"/>
    </row>
    <row r="73" spans="1:3" ht="29" x14ac:dyDescent="0.35">
      <c r="A73" s="220" t="s">
        <v>317</v>
      </c>
      <c r="B73" s="6">
        <v>7</v>
      </c>
      <c r="C73" s="342" t="s">
        <v>418</v>
      </c>
    </row>
    <row r="74" spans="1:3" ht="87" x14ac:dyDescent="0.35">
      <c r="A74" s="227" t="s">
        <v>318</v>
      </c>
      <c r="B74" s="231" t="s">
        <v>419</v>
      </c>
      <c r="C74" s="252" t="s">
        <v>408</v>
      </c>
    </row>
    <row r="77" spans="1:3" ht="14.5" x14ac:dyDescent="0.35"/>
  </sheetData>
  <mergeCells count="7">
    <mergeCell ref="A55:C55"/>
    <mergeCell ref="A64:C64"/>
    <mergeCell ref="A1:C1"/>
    <mergeCell ref="A12:C12"/>
    <mergeCell ref="A23:C23"/>
    <mergeCell ref="A34:C34"/>
    <mergeCell ref="A45:C45"/>
  </mergeCells>
  <conditionalFormatting sqref="B3:B4">
    <cfRule type="cellIs" dxfId="77" priority="37" operator="between">
      <formula>0.5</formula>
      <formula>1</formula>
    </cfRule>
    <cfRule type="cellIs" dxfId="76" priority="38" operator="lessThan">
      <formula>0.5</formula>
    </cfRule>
    <cfRule type="cellIs" dxfId="75" priority="39" operator="greaterThan">
      <formula>1</formula>
    </cfRule>
  </conditionalFormatting>
  <conditionalFormatting sqref="B14:B15">
    <cfRule type="cellIs" dxfId="74" priority="16" operator="between">
      <formula>0.5</formula>
      <formula>1</formula>
    </cfRule>
    <cfRule type="cellIs" dxfId="73" priority="17" operator="lessThan">
      <formula>0.5</formula>
    </cfRule>
    <cfRule type="cellIs" dxfId="72" priority="18" operator="greaterThan">
      <formula>1</formula>
    </cfRule>
  </conditionalFormatting>
  <conditionalFormatting sqref="B25:B26">
    <cfRule type="cellIs" dxfId="71" priority="13" operator="between">
      <formula>0.5</formula>
      <formula>1</formula>
    </cfRule>
    <cfRule type="cellIs" dxfId="70" priority="14" operator="lessThan">
      <formula>0.5</formula>
    </cfRule>
    <cfRule type="cellIs" dxfId="69" priority="15" operator="greaterThan">
      <formula>1</formula>
    </cfRule>
  </conditionalFormatting>
  <conditionalFormatting sqref="B36:B37">
    <cfRule type="cellIs" dxfId="68" priority="10" operator="between">
      <formula>0.5</formula>
      <formula>1</formula>
    </cfRule>
    <cfRule type="cellIs" dxfId="67" priority="11" operator="lessThan">
      <formula>0.5</formula>
    </cfRule>
    <cfRule type="cellIs" dxfId="66" priority="12" operator="greaterThan">
      <formula>1</formula>
    </cfRule>
  </conditionalFormatting>
  <conditionalFormatting sqref="B47:B48">
    <cfRule type="cellIs" dxfId="65" priority="7" operator="between">
      <formula>0.5</formula>
      <formula>1</formula>
    </cfRule>
    <cfRule type="cellIs" dxfId="64" priority="8" operator="lessThan">
      <formula>0.5</formula>
    </cfRule>
    <cfRule type="cellIs" dxfId="63" priority="9" operator="greaterThan">
      <formula>1</formula>
    </cfRule>
  </conditionalFormatting>
  <conditionalFormatting sqref="B57:B58">
    <cfRule type="cellIs" dxfId="62" priority="4" operator="between">
      <formula>0.5</formula>
      <formula>1</formula>
    </cfRule>
    <cfRule type="cellIs" dxfId="61" priority="5" operator="lessThan">
      <formula>0.5</formula>
    </cfRule>
    <cfRule type="cellIs" dxfId="60" priority="6" operator="greaterThan">
      <formula>1</formula>
    </cfRule>
  </conditionalFormatting>
  <conditionalFormatting sqref="B66:B67">
    <cfRule type="cellIs" dxfId="59" priority="1" operator="between">
      <formula>0.5</formula>
      <formula>1</formula>
    </cfRule>
    <cfRule type="cellIs" dxfId="58" priority="2" operator="lessThan">
      <formula>0.5</formula>
    </cfRule>
    <cfRule type="cellIs" dxfId="57" priority="3" operator="greaterThan">
      <formula>1</formula>
    </cfRule>
  </conditionalFormatting>
  <hyperlinks>
    <hyperlink ref="C10" r:id="rId1" xr:uid="{FD7C91D3-C0E3-4531-A91D-2BF7AE94E47C}"/>
    <hyperlink ref="C38" r:id="rId2" display="https://www.sphericalinsights.com/reports/wave-energy-market" xr:uid="{CF44A8AB-0664-4B6F-8B8C-7EB4623133A5}"/>
    <hyperlink ref="C41" r:id="rId3" display="https://www.sphericalinsights.com/reports/wave-energy-market" xr:uid="{568141C2-EE0F-4939-ACA8-D8E25B888342}"/>
    <hyperlink ref="C68" r:id="rId4" xr:uid="{EF308023-5522-4691-9D07-A6C8AEB30EB2}"/>
    <hyperlink ref="C5" r:id="rId5" xr:uid="{84CAC03B-4940-46AC-8154-2DE8BA129EF8}"/>
    <hyperlink ref="C11" r:id="rId6" location=":~:text=Offshore%20wind%20farms%20have%20many,environmental%20pollutants%20or%20greenhouse%20gases." xr:uid="{BFE6E742-2264-46EF-82FC-7684DD4904E2}"/>
    <hyperlink ref="C22" r:id="rId7" xr:uid="{F58B0824-F2B0-4E83-A49A-5D6AB676D375}"/>
    <hyperlink ref="C33" r:id="rId8" xr:uid="{A4EFC445-DF5E-42C1-A2C5-9A3F0F65FB55}"/>
    <hyperlink ref="C44" r:id="rId9" xr:uid="{24C81CA6-F202-496C-8DA1-F3AD88245536}"/>
    <hyperlink ref="C74" r:id="rId10" xr:uid="{C18CA804-838B-4FEE-A4FD-E2FC9324CDE8}"/>
    <hyperlink ref="C54" r:id="rId11" xr:uid="{76F36DC4-3B25-4E30-A324-C7A1CA9E4049}"/>
    <hyperlink ref="C63" r:id="rId12" xr:uid="{CCA9BD9C-790B-44EC-BBFE-96CBBBDF2365}"/>
    <hyperlink ref="C8" r:id="rId13" xr:uid="{3A6A5A93-BE3C-4D0E-847C-4E7D47411201}"/>
    <hyperlink ref="C73" r:id="rId14" xr:uid="{2F3A1078-E1B8-4F1D-AD9C-28086A7E3529}"/>
    <hyperlink ref="C16" r:id="rId15" display="https://market.us/report/tidal-power-generation-market/" xr:uid="{07BD9BBD-1840-4E29-A073-2EBE46B6CAEB}"/>
    <hyperlink ref="C19" r:id="rId16" display="https://market.us/report/tidal-power-generation-market/" xr:uid="{B9754EF0-DF66-4DF1-B58D-A963C5B77F8B}"/>
    <hyperlink ref="C21" r:id="rId17" display="https://www.irena.org/publications/2020/Dec/Innovation-Outlook-Ocean-Energy-Technologies" xr:uid="{6C69531A-70EC-4F8C-8165-147EC8BBE474}"/>
    <hyperlink ref="C27" r:id="rId18" display="https://market.us/report/tidal-power-generation-market/" xr:uid="{384B7BD1-B8ED-46CD-9949-2FE3843D59CC}"/>
    <hyperlink ref="C30" r:id="rId19" display="https://market.us/report/tidal-power-generation-market/" xr:uid="{F0CA7248-7A49-4243-A90A-CB52E12E275B}"/>
    <hyperlink ref="C32" r:id="rId20" display="https://www.irena.org/publications/2020/Dec/Innovation-Outlook-Ocean-Energy-Technologies" xr:uid="{E238C2A8-EFAD-4106-8462-2DA277F3F9A2}"/>
    <hyperlink ref="C43" r:id="rId21" display="https://www.irena.org/publications/2020/Dec/Innovation-Outlook-Ocean-Energy-Technologies" xr:uid="{AD72C27C-B5AA-4B28-96FD-A294D4B3ECCF}"/>
    <hyperlink ref="C49" r:id="rId22" xr:uid="{7CC76BDF-991E-492B-ADDB-1AF422C1BFB1}"/>
    <hyperlink ref="C51" r:id="rId23" xr:uid="{F7F245AB-ABB3-4F58-B2B3-712210AA15CE}"/>
    <hyperlink ref="C53" r:id="rId24" display="https://oceanpanel.org/wp-content/uploads/2023/09/Full-Report_Ocean-Climate-Solutions-Update-1.pdf" xr:uid="{DAE0CC40-C356-42CB-A77B-6C3CDEF4E936}"/>
    <hyperlink ref="C71" r:id="rId25" xr:uid="{AA08557F-B069-482A-BD72-94DD609AA557}"/>
    <hyperlink ref="C59" r:id="rId26" display="https://www.gminsights.com/industry-analysis/marine-energy-market" xr:uid="{3BB49364-41BE-4A9E-A0D4-7D9EEEF37A9B}"/>
    <hyperlink ref="C61" r:id="rId27" display="https://www.gminsights.com/industry-analysis/marine-energy-market" xr:uid="{B2978F31-14EF-4087-920B-8093FB7C04D0}"/>
  </hyperlinks>
  <pageMargins left="0.7" right="0.7" top="0.75" bottom="0.75" header="0.3" footer="0.3"/>
  <pageSetup orientation="portrait" r:id="rId2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3FC7E-116E-44DA-A5C6-FE54F1AAF8EF}">
  <sheetPr>
    <tabColor rgb="FFC00000"/>
  </sheetPr>
  <dimension ref="A1:C34"/>
  <sheetViews>
    <sheetView topLeftCell="A13" workbookViewId="0">
      <selection activeCell="B17" sqref="B17"/>
    </sheetView>
  </sheetViews>
  <sheetFormatPr defaultColWidth="8.81640625" defaultRowHeight="15" customHeight="1" x14ac:dyDescent="0.35"/>
  <cols>
    <col min="1" max="1" width="36.453125" customWidth="1"/>
    <col min="2" max="2" width="22.26953125" style="1" customWidth="1"/>
    <col min="3" max="3" width="49.7265625" style="1" customWidth="1"/>
  </cols>
  <sheetData>
    <row r="1" spans="1:3" ht="14.5" x14ac:dyDescent="0.35">
      <c r="A1" s="429" t="s">
        <v>148</v>
      </c>
      <c r="B1" s="429"/>
      <c r="C1" s="429"/>
    </row>
    <row r="2" spans="1:3" ht="14.5" x14ac:dyDescent="0.35">
      <c r="A2" s="240" t="s">
        <v>389</v>
      </c>
      <c r="B2" s="239" t="s">
        <v>390</v>
      </c>
      <c r="C2" s="241" t="s">
        <v>391</v>
      </c>
    </row>
    <row r="3" spans="1:3" ht="14.5" x14ac:dyDescent="0.35">
      <c r="A3" s="176" t="s">
        <v>392</v>
      </c>
      <c r="B3" s="255">
        <f>CO2_Potential_SF!$D$6</f>
        <v>0.26146913223699941</v>
      </c>
      <c r="C3" s="81"/>
    </row>
    <row r="4" spans="1:3" ht="14.5" x14ac:dyDescent="0.35">
      <c r="A4" s="176" t="s">
        <v>393</v>
      </c>
      <c r="B4" s="255">
        <f>CO2_Potential_SF!$C$6</f>
        <v>1.161941421083057</v>
      </c>
      <c r="C4" s="262"/>
    </row>
    <row r="5" spans="1:3" ht="14.5" x14ac:dyDescent="0.35">
      <c r="A5" s="176" t="s">
        <v>394</v>
      </c>
      <c r="B5" s="259">
        <v>5.45</v>
      </c>
      <c r="C5" s="81" t="s">
        <v>420</v>
      </c>
    </row>
    <row r="6" spans="1:3" ht="14.5" x14ac:dyDescent="0.35">
      <c r="A6" s="176" t="s">
        <v>421</v>
      </c>
      <c r="B6" s="219">
        <v>12.24</v>
      </c>
      <c r="C6" s="81"/>
    </row>
    <row r="7" spans="1:3" ht="14.5" x14ac:dyDescent="0.35">
      <c r="A7" s="176" t="s">
        <v>399</v>
      </c>
      <c r="B7" s="219">
        <v>2022</v>
      </c>
      <c r="C7" s="81"/>
    </row>
    <row r="8" spans="1:3" ht="29" x14ac:dyDescent="0.35">
      <c r="A8" s="220" t="s">
        <v>316</v>
      </c>
      <c r="B8" s="238">
        <v>0.113</v>
      </c>
      <c r="C8" s="81"/>
    </row>
    <row r="9" spans="1:3" ht="14.5" x14ac:dyDescent="0.35">
      <c r="A9" s="223" t="s">
        <v>400</v>
      </c>
      <c r="B9" s="237">
        <f>B5*(1+B8)^(2030-B7)</f>
        <v>12.833875352871276</v>
      </c>
      <c r="C9" s="81"/>
    </row>
    <row r="10" spans="1:3" ht="29" x14ac:dyDescent="0.35">
      <c r="A10" s="220" t="s">
        <v>317</v>
      </c>
      <c r="B10" s="219">
        <v>8</v>
      </c>
      <c r="C10" s="258" t="s">
        <v>422</v>
      </c>
    </row>
    <row r="11" spans="1:3" ht="58" x14ac:dyDescent="0.35">
      <c r="A11" s="220" t="s">
        <v>423</v>
      </c>
      <c r="B11" s="219" t="s">
        <v>424</v>
      </c>
      <c r="C11" s="81" t="s">
        <v>425</v>
      </c>
    </row>
    <row r="12" spans="1:3" ht="14.5" x14ac:dyDescent="0.35">
      <c r="A12" s="429" t="s">
        <v>135</v>
      </c>
      <c r="B12" s="429"/>
      <c r="C12" s="429"/>
    </row>
    <row r="13" spans="1:3" ht="14.5" x14ac:dyDescent="0.35">
      <c r="A13" s="240" t="s">
        <v>389</v>
      </c>
      <c r="B13" s="239" t="s">
        <v>390</v>
      </c>
      <c r="C13" s="241" t="s">
        <v>391</v>
      </c>
    </row>
    <row r="14" spans="1:3" ht="14.5" x14ac:dyDescent="0.35">
      <c r="A14" s="176" t="s">
        <v>392</v>
      </c>
      <c r="B14" s="255">
        <f>CO2_Potential_SF!$D$2</f>
        <v>0.24764877951192882</v>
      </c>
      <c r="C14" s="81" t="s">
        <v>401</v>
      </c>
    </row>
    <row r="15" spans="1:3" ht="14.5" x14ac:dyDescent="0.35">
      <c r="A15" s="176" t="s">
        <v>393</v>
      </c>
      <c r="B15" s="255">
        <f>CO2_Potential_SF!$C$2</f>
        <v>0.79925788741911141</v>
      </c>
      <c r="C15" s="262"/>
    </row>
    <row r="16" spans="1:3" ht="14.5" x14ac:dyDescent="0.35">
      <c r="A16" s="176" t="s">
        <v>394</v>
      </c>
      <c r="B16" s="259">
        <f>16.85-5.45</f>
        <v>11.400000000000002</v>
      </c>
      <c r="C16" s="81" t="s">
        <v>426</v>
      </c>
    </row>
    <row r="17" spans="1:3" ht="14.5" x14ac:dyDescent="0.35">
      <c r="A17" s="176" t="s">
        <v>421</v>
      </c>
      <c r="B17" s="219">
        <v>52.534999999999997</v>
      </c>
    </row>
    <row r="18" spans="1:3" ht="14.5" x14ac:dyDescent="0.35">
      <c r="A18" s="223" t="s">
        <v>399</v>
      </c>
      <c r="B18" s="219">
        <v>2023</v>
      </c>
    </row>
    <row r="19" spans="1:3" ht="29" x14ac:dyDescent="0.35">
      <c r="A19" s="220" t="s">
        <v>316</v>
      </c>
      <c r="B19" s="238">
        <v>5.6000000000000001E-2</v>
      </c>
      <c r="C19" s="258" t="s">
        <v>427</v>
      </c>
    </row>
    <row r="20" spans="1:3" ht="14.5" x14ac:dyDescent="0.35">
      <c r="A20" s="220" t="s">
        <v>400</v>
      </c>
      <c r="B20" s="237">
        <f>B16*(1+B19)^(2030-B18)</f>
        <v>16.693687473890229</v>
      </c>
      <c r="C20" s="81"/>
    </row>
    <row r="21" spans="1:3" ht="29" x14ac:dyDescent="0.35">
      <c r="A21" s="220" t="s">
        <v>317</v>
      </c>
      <c r="B21" s="219">
        <v>8</v>
      </c>
      <c r="C21" s="258" t="s">
        <v>428</v>
      </c>
    </row>
    <row r="22" spans="1:3" ht="87" x14ac:dyDescent="0.35">
      <c r="A22" s="220" t="s">
        <v>423</v>
      </c>
      <c r="B22" s="219" t="s">
        <v>429</v>
      </c>
      <c r="C22" s="81" t="s">
        <v>425</v>
      </c>
    </row>
    <row r="23" spans="1:3" ht="14.5" x14ac:dyDescent="0.35">
      <c r="A23" s="429" t="s">
        <v>430</v>
      </c>
      <c r="B23" s="429"/>
      <c r="C23" s="429"/>
    </row>
    <row r="24" spans="1:3" ht="14.5" x14ac:dyDescent="0.35">
      <c r="A24" s="240" t="s">
        <v>389</v>
      </c>
      <c r="B24" s="239" t="s">
        <v>390</v>
      </c>
      <c r="C24" s="241" t="s">
        <v>391</v>
      </c>
    </row>
    <row r="25" spans="1:3" ht="14.5" x14ac:dyDescent="0.35">
      <c r="A25" s="176" t="s">
        <v>392</v>
      </c>
      <c r="B25" s="254">
        <f>CO2_Potential_SF!$D$5</f>
        <v>5.6905945537705165</v>
      </c>
      <c r="C25" s="2"/>
    </row>
    <row r="26" spans="1:3" ht="14.5" x14ac:dyDescent="0.35">
      <c r="A26" s="176" t="s">
        <v>393</v>
      </c>
      <c r="B26" s="255">
        <f>CO2_Potential_SF!$C$5</f>
        <v>12.756393197995139</v>
      </c>
      <c r="C26" s="262"/>
    </row>
    <row r="27" spans="1:3" ht="14.5" x14ac:dyDescent="0.35">
      <c r="A27" s="176" t="s">
        <v>394</v>
      </c>
      <c r="B27" s="219">
        <v>8.1999999999999993</v>
      </c>
      <c r="C27" s="81" t="s">
        <v>431</v>
      </c>
    </row>
    <row r="28" spans="1:3" ht="14.5" x14ac:dyDescent="0.35">
      <c r="A28" s="176" t="s">
        <v>421</v>
      </c>
      <c r="B28" s="219"/>
      <c r="C28" s="81"/>
    </row>
    <row r="29" spans="1:3" ht="14.5" x14ac:dyDescent="0.35">
      <c r="A29" s="176" t="s">
        <v>399</v>
      </c>
      <c r="B29" s="4">
        <v>2024</v>
      </c>
      <c r="C29" s="81"/>
    </row>
    <row r="30" spans="1:3" ht="29" x14ac:dyDescent="0.35">
      <c r="A30" s="220" t="s">
        <v>316</v>
      </c>
      <c r="B30" s="238">
        <v>8.5000000000000006E-2</v>
      </c>
      <c r="C30" s="342" t="s">
        <v>432</v>
      </c>
    </row>
    <row r="31" spans="1:3" ht="14.5" x14ac:dyDescent="0.35">
      <c r="A31" s="223" t="s">
        <v>400</v>
      </c>
      <c r="B31" s="237">
        <f>B27*(1+B30)^(2030-B29)</f>
        <v>13.378033572514774</v>
      </c>
      <c r="C31" s="81"/>
    </row>
    <row r="32" spans="1:3" ht="58" x14ac:dyDescent="0.35">
      <c r="A32" s="220" t="s">
        <v>317</v>
      </c>
      <c r="B32" s="219">
        <v>8</v>
      </c>
      <c r="C32" s="258" t="s">
        <v>433</v>
      </c>
    </row>
    <row r="33" spans="1:3" ht="58" x14ac:dyDescent="0.35">
      <c r="A33" s="227" t="s">
        <v>423</v>
      </c>
      <c r="B33" s="343" t="s">
        <v>434</v>
      </c>
      <c r="C33" s="344" t="s">
        <v>433</v>
      </c>
    </row>
    <row r="34" spans="1:3" ht="14.5" x14ac:dyDescent="0.35">
      <c r="A34" s="42"/>
      <c r="B34" s="2"/>
      <c r="C34" s="2"/>
    </row>
  </sheetData>
  <mergeCells count="3">
    <mergeCell ref="A23:C23"/>
    <mergeCell ref="A1:C1"/>
    <mergeCell ref="A12:C12"/>
  </mergeCells>
  <conditionalFormatting sqref="B3:B4">
    <cfRule type="cellIs" dxfId="56" priority="7" operator="between">
      <formula>0.5</formula>
      <formula>1</formula>
    </cfRule>
    <cfRule type="cellIs" dxfId="55" priority="8" operator="lessThan">
      <formula>0.5</formula>
    </cfRule>
    <cfRule type="cellIs" dxfId="54" priority="9" operator="greaterThan">
      <formula>1</formula>
    </cfRule>
  </conditionalFormatting>
  <conditionalFormatting sqref="B14:B15">
    <cfRule type="cellIs" dxfId="53" priority="4" operator="between">
      <formula>0.5</formula>
      <formula>1</formula>
    </cfRule>
    <cfRule type="cellIs" dxfId="52" priority="5" operator="lessThan">
      <formula>0.5</formula>
    </cfRule>
    <cfRule type="cellIs" dxfId="51" priority="6" operator="greaterThan">
      <formula>1</formula>
    </cfRule>
  </conditionalFormatting>
  <conditionalFormatting sqref="B25:B26">
    <cfRule type="cellIs" dxfId="50" priority="1" operator="between">
      <formula>0.5</formula>
      <formula>1</formula>
    </cfRule>
    <cfRule type="cellIs" dxfId="49" priority="2" operator="lessThan">
      <formula>0.5</formula>
    </cfRule>
    <cfRule type="cellIs" dxfId="48" priority="3" operator="greaterThan">
      <formula>1</formula>
    </cfRule>
  </conditionalFormatting>
  <hyperlinks>
    <hyperlink ref="C16" r:id="rId1" xr:uid="{0AAE445E-9FCC-4DC3-8291-418EBA14B9CE}"/>
    <hyperlink ref="C11" r:id="rId2" xr:uid="{52EAE98C-7B65-4E80-AF5D-29AD34160887}"/>
    <hyperlink ref="C22" r:id="rId3" location="climate-change-mitigation-benefitshttps://foodforwardndcs.panda.org/food-production/implementing-sustainable-aquaculture-management-systems/" xr:uid="{A7A7CFC1-CE44-4C11-819D-1600F59B9322}"/>
    <hyperlink ref="C27" r:id="rId4" xr:uid="{599DDBF8-6583-4361-A708-4AD7F7A552AA}"/>
    <hyperlink ref="C5" r:id="rId5" xr:uid="{1742FD51-9522-4FFC-8741-42C28FC589EA}"/>
    <hyperlink ref="C10" r:id="rId6" location=":~:text=The%202024%20edition%20of%20The%20State%20of%20World,aquatic%20foods%20into%20global%20food%20security%20and%20sustainability%2C" display="https://iifiir.org/en/fridoc/the-state-of-world-fisheries-and-aquaculture-2024-blue-transformation-149150 - :~:text=The%202024%20edition%20of%20The%20State%20of%20World,aquatic%20foods%20into%20global%20food%20security%20and%20sustainability%2C" xr:uid="{6822592F-6070-47DE-BC6C-F9F772109408}"/>
    <hyperlink ref="C14" r:id="rId7" xr:uid="{98C16515-CF37-4C7F-8C7B-6A25658DAA6E}"/>
    <hyperlink ref="C21" r:id="rId8" display="https://ssfhub.org/resource/new-and-emerging-technologies-sustainable-fisheries-comprehensive-landscape-analysis" xr:uid="{3DD4FE66-CA58-4717-A8D0-7E7208081F76}"/>
    <hyperlink ref="C32" r:id="rId9" display="https://ift.onlinelibrary.wiley.com/doi/10.1111/1541-4337.13281" xr:uid="{01B76602-C904-4716-9F74-747170A3FD1E}"/>
    <hyperlink ref="C19" r:id="rId10" display="https://www.credenceresearch.com/report/sustainable-seafood-market" xr:uid="{08886788-E633-47E3-B622-85111AB6A856}"/>
    <hyperlink ref="C30" r:id="rId11" display="https://wwwcdn.imo.org/localresources/en/MediaCentre/HotTopics/Documents/Technology Matrix.pdf?utm_source=chatgpt.com" xr:uid="{30DAC750-D7E8-450E-979A-F3F5710B1942}"/>
    <hyperlink ref="C33" r:id="rId12" display="https://ift.onlinelibrary.wiley.com/doi/10.1111/1541-4337.13281" xr:uid="{53E320E9-B7D5-45C3-BA14-BD50BA9B12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B139E-D724-446B-9124-128F0607BD27}">
  <sheetPr>
    <tabColor rgb="FF0070C0"/>
  </sheetPr>
  <dimension ref="A1:E48"/>
  <sheetViews>
    <sheetView topLeftCell="A31" workbookViewId="0">
      <selection activeCell="A32" sqref="A32:C32"/>
    </sheetView>
  </sheetViews>
  <sheetFormatPr defaultColWidth="8.81640625" defaultRowHeight="15" customHeight="1" x14ac:dyDescent="0.35"/>
  <cols>
    <col min="1" max="1" width="43" style="113" bestFit="1" customWidth="1"/>
    <col min="2" max="2" width="26.54296875" style="15" customWidth="1"/>
    <col min="3" max="3" width="41.54296875" style="222" customWidth="1"/>
  </cols>
  <sheetData>
    <row r="1" spans="1:5" ht="14.5" x14ac:dyDescent="0.35">
      <c r="A1" s="430" t="s">
        <v>435</v>
      </c>
      <c r="B1" s="430"/>
      <c r="C1" s="430"/>
    </row>
    <row r="2" spans="1:5" ht="14.5" x14ac:dyDescent="0.35">
      <c r="A2" s="225" t="s">
        <v>389</v>
      </c>
      <c r="B2" s="228" t="s">
        <v>390</v>
      </c>
      <c r="C2" s="226" t="s">
        <v>391</v>
      </c>
    </row>
    <row r="3" spans="1:5" ht="14.5" x14ac:dyDescent="0.35">
      <c r="A3" s="176" t="s">
        <v>392</v>
      </c>
      <c r="B3" s="255">
        <f>CO2_Potential_MT!$D$2</f>
        <v>2.3836049999999993</v>
      </c>
      <c r="C3" s="221"/>
    </row>
    <row r="4" spans="1:5" ht="14.5" x14ac:dyDescent="0.35">
      <c r="A4" s="176" t="s">
        <v>393</v>
      </c>
      <c r="B4" s="255">
        <f>CO2_Potential_MT!$C$2</f>
        <v>6.9192899999999993</v>
      </c>
      <c r="C4" s="262"/>
    </row>
    <row r="5" spans="1:5" ht="14.5" customHeight="1" x14ac:dyDescent="0.35">
      <c r="A5" s="176" t="s">
        <v>394</v>
      </c>
      <c r="B5" s="321">
        <v>14.16</v>
      </c>
      <c r="C5" s="221" t="s">
        <v>436</v>
      </c>
    </row>
    <row r="6" spans="1:5" ht="14.5" customHeight="1" x14ac:dyDescent="0.35">
      <c r="A6" s="176" t="s">
        <v>437</v>
      </c>
      <c r="B6" s="6">
        <v>3.1</v>
      </c>
      <c r="C6" s="221"/>
    </row>
    <row r="7" spans="1:5" ht="14.5" customHeight="1" x14ac:dyDescent="0.35">
      <c r="A7" s="176" t="s">
        <v>399</v>
      </c>
      <c r="B7" s="6">
        <v>2024</v>
      </c>
      <c r="C7" s="221"/>
    </row>
    <row r="8" spans="1:5" ht="14.5" x14ac:dyDescent="0.35">
      <c r="A8" s="220" t="s">
        <v>316</v>
      </c>
      <c r="B8" s="261">
        <v>0.52300000000000002</v>
      </c>
      <c r="C8" s="221" t="s">
        <v>436</v>
      </c>
    </row>
    <row r="9" spans="1:5" ht="14.5" x14ac:dyDescent="0.35">
      <c r="A9" s="220" t="s">
        <v>438</v>
      </c>
      <c r="B9" s="351">
        <f>14.16%</f>
        <v>0.1416</v>
      </c>
      <c r="C9" s="221"/>
    </row>
    <row r="10" spans="1:5" ht="14.5" x14ac:dyDescent="0.35">
      <c r="A10" s="223" t="s">
        <v>400</v>
      </c>
      <c r="B10" s="229">
        <f>B5*(1+B9)^(2030-B7)</f>
        <v>31.343465593942238</v>
      </c>
      <c r="C10" s="221"/>
    </row>
    <row r="11" spans="1:5" ht="29" x14ac:dyDescent="0.35">
      <c r="A11" s="220" t="s">
        <v>317</v>
      </c>
      <c r="B11" s="6">
        <v>7</v>
      </c>
      <c r="C11" s="221" t="s">
        <v>439</v>
      </c>
    </row>
    <row r="12" spans="1:5" ht="43.5" x14ac:dyDescent="0.35">
      <c r="A12" s="220" t="s">
        <v>423</v>
      </c>
      <c r="B12" s="6" t="s">
        <v>440</v>
      </c>
      <c r="C12" s="221" t="s">
        <v>441</v>
      </c>
      <c r="D12" s="224"/>
      <c r="E12" s="176"/>
    </row>
    <row r="13" spans="1:5" ht="14.5" x14ac:dyDescent="0.35">
      <c r="A13" s="431" t="s">
        <v>191</v>
      </c>
      <c r="B13" s="431"/>
      <c r="C13" s="431"/>
      <c r="E13" s="223"/>
    </row>
    <row r="14" spans="1:5" ht="14.5" x14ac:dyDescent="0.35">
      <c r="A14" s="225" t="s">
        <v>389</v>
      </c>
      <c r="B14" s="228" t="s">
        <v>390</v>
      </c>
      <c r="C14" s="226" t="s">
        <v>391</v>
      </c>
      <c r="E14" s="223"/>
    </row>
    <row r="15" spans="1:5" ht="14.5" x14ac:dyDescent="0.35">
      <c r="A15" s="176" t="s">
        <v>392</v>
      </c>
      <c r="B15" s="244">
        <f>CO2_Potential_MT!$D$4</f>
        <v>0.30268</v>
      </c>
      <c r="C15" s="221"/>
      <c r="E15" s="176"/>
    </row>
    <row r="16" spans="1:5" ht="14.5" x14ac:dyDescent="0.35">
      <c r="A16" s="176" t="s">
        <v>393</v>
      </c>
      <c r="B16" s="255">
        <f>CO2_Potential_MT!$C$4</f>
        <v>0.87863999999999987</v>
      </c>
      <c r="C16" s="262"/>
    </row>
    <row r="17" spans="1:5" ht="14.5" x14ac:dyDescent="0.35">
      <c r="A17" s="176" t="s">
        <v>394</v>
      </c>
      <c r="B17" s="6" t="s">
        <v>356</v>
      </c>
      <c r="E17" s="176"/>
    </row>
    <row r="18" spans="1:5" ht="14.5" x14ac:dyDescent="0.35">
      <c r="A18" s="223" t="s">
        <v>400</v>
      </c>
      <c r="B18" s="229" t="s">
        <v>356</v>
      </c>
      <c r="C18" s="221"/>
      <c r="E18" s="176"/>
    </row>
    <row r="19" spans="1:5" ht="14.5" x14ac:dyDescent="0.35">
      <c r="A19" s="220" t="s">
        <v>316</v>
      </c>
      <c r="B19" s="230" t="s">
        <v>356</v>
      </c>
      <c r="C19" s="221"/>
      <c r="E19" s="176"/>
    </row>
    <row r="20" spans="1:5" ht="29" x14ac:dyDescent="0.35">
      <c r="A20" s="220" t="s">
        <v>317</v>
      </c>
      <c r="B20" s="6">
        <v>9</v>
      </c>
      <c r="C20" s="221" t="s">
        <v>442</v>
      </c>
      <c r="E20" s="176"/>
    </row>
    <row r="21" spans="1:5" ht="43.5" x14ac:dyDescent="0.35">
      <c r="A21" s="220" t="s">
        <v>423</v>
      </c>
      <c r="B21" s="6" t="s">
        <v>443</v>
      </c>
      <c r="C21" s="221" t="s">
        <v>444</v>
      </c>
      <c r="E21" s="220"/>
    </row>
    <row r="22" spans="1:5" ht="15" customHeight="1" x14ac:dyDescent="0.35">
      <c r="A22" s="431" t="s">
        <v>193</v>
      </c>
      <c r="B22" s="431"/>
      <c r="C22" s="431"/>
      <c r="E22" s="220"/>
    </row>
    <row r="23" spans="1:5" ht="15" customHeight="1" x14ac:dyDescent="0.35">
      <c r="A23" s="225" t="s">
        <v>389</v>
      </c>
      <c r="B23" s="228" t="s">
        <v>390</v>
      </c>
      <c r="C23" s="226" t="s">
        <v>391</v>
      </c>
      <c r="E23" s="220"/>
    </row>
    <row r="24" spans="1:5" ht="15" customHeight="1" x14ac:dyDescent="0.35">
      <c r="A24" s="176" t="s">
        <v>392</v>
      </c>
      <c r="B24" s="255">
        <f>CO2_Potential_MT!$D$5</f>
        <v>0.15134</v>
      </c>
      <c r="C24" s="221"/>
      <c r="E24" s="220"/>
    </row>
    <row r="25" spans="1:5" ht="15" customHeight="1" x14ac:dyDescent="0.35">
      <c r="A25" s="176" t="s">
        <v>393</v>
      </c>
      <c r="B25" s="255">
        <f>CO2_Potential_MT!$C$5</f>
        <v>0.43931999999999993</v>
      </c>
      <c r="C25" s="262"/>
    </row>
    <row r="26" spans="1:5" ht="15" customHeight="1" x14ac:dyDescent="0.35">
      <c r="A26" s="176" t="s">
        <v>394</v>
      </c>
      <c r="B26" s="6">
        <v>4.42</v>
      </c>
      <c r="C26" s="221" t="s">
        <v>445</v>
      </c>
      <c r="E26" s="220"/>
    </row>
    <row r="27" spans="1:5" ht="15" customHeight="1" x14ac:dyDescent="0.35">
      <c r="A27" s="176" t="s">
        <v>399</v>
      </c>
      <c r="B27" s="6">
        <v>2024</v>
      </c>
      <c r="C27" s="221"/>
      <c r="E27" s="220"/>
    </row>
    <row r="28" spans="1:5" ht="15" customHeight="1" x14ac:dyDescent="0.35">
      <c r="A28" s="220" t="s">
        <v>316</v>
      </c>
      <c r="B28" s="230">
        <v>0.12</v>
      </c>
      <c r="C28" s="221"/>
      <c r="E28" s="220"/>
    </row>
    <row r="29" spans="1:5" ht="14.5" x14ac:dyDescent="0.35">
      <c r="A29" s="223" t="s">
        <v>400</v>
      </c>
      <c r="B29" s="229">
        <f>B26*(1+B28)^(2030-B27)</f>
        <v>8.7242962685132834</v>
      </c>
      <c r="C29" s="221"/>
    </row>
    <row r="30" spans="1:5" ht="14.5" x14ac:dyDescent="0.35">
      <c r="A30" s="220" t="s">
        <v>317</v>
      </c>
      <c r="B30" s="6">
        <v>8</v>
      </c>
      <c r="C30" s="337" t="s">
        <v>432</v>
      </c>
    </row>
    <row r="31" spans="1:5" ht="29" x14ac:dyDescent="0.35">
      <c r="A31" s="220" t="s">
        <v>423</v>
      </c>
      <c r="B31" s="6" t="s">
        <v>446</v>
      </c>
      <c r="C31" s="221" t="s">
        <v>441</v>
      </c>
    </row>
    <row r="32" spans="1:5" ht="14.5" x14ac:dyDescent="0.35">
      <c r="A32" s="431" t="s">
        <v>363</v>
      </c>
      <c r="B32" s="431"/>
      <c r="C32" s="431"/>
    </row>
    <row r="33" spans="1:5" ht="14.5" x14ac:dyDescent="0.35">
      <c r="A33" s="225" t="s">
        <v>389</v>
      </c>
      <c r="B33" s="228" t="s">
        <v>390</v>
      </c>
      <c r="C33" s="226" t="s">
        <v>391</v>
      </c>
    </row>
    <row r="34" spans="1:5" ht="14.5" x14ac:dyDescent="0.35">
      <c r="A34" s="176" t="s">
        <v>392</v>
      </c>
      <c r="B34" s="255">
        <f>CO2_Potential_MT!$D$3</f>
        <v>0.30268</v>
      </c>
      <c r="C34" s="221"/>
    </row>
    <row r="35" spans="1:5" ht="14.5" x14ac:dyDescent="0.35">
      <c r="A35" s="176" t="s">
        <v>393</v>
      </c>
      <c r="B35" s="255">
        <f>CO2_Potential_MT!$C$3</f>
        <v>0.87863999999999987</v>
      </c>
      <c r="C35" s="262"/>
    </row>
    <row r="36" spans="1:5" ht="14.5" x14ac:dyDescent="0.35">
      <c r="A36" s="176" t="s">
        <v>394</v>
      </c>
      <c r="B36" s="6">
        <v>1.8</v>
      </c>
      <c r="C36" s="221" t="s">
        <v>447</v>
      </c>
      <c r="E36" s="81"/>
    </row>
    <row r="37" spans="1:5" ht="14.5" x14ac:dyDescent="0.35">
      <c r="A37" s="176" t="s">
        <v>399</v>
      </c>
      <c r="B37" s="6">
        <v>2023</v>
      </c>
      <c r="C37" s="221"/>
      <c r="E37" s="81"/>
    </row>
    <row r="38" spans="1:5" ht="43.5" x14ac:dyDescent="0.35">
      <c r="A38" s="220" t="s">
        <v>316</v>
      </c>
      <c r="B38" s="230">
        <v>0.1</v>
      </c>
      <c r="C38" s="258" t="s">
        <v>448</v>
      </c>
    </row>
    <row r="39" spans="1:5" ht="14.5" x14ac:dyDescent="0.35">
      <c r="A39" s="223" t="s">
        <v>400</v>
      </c>
      <c r="B39" s="229">
        <f>B36*(1+B38)^(2030-B37)</f>
        <v>3.5076907800000021</v>
      </c>
      <c r="C39" s="221"/>
    </row>
    <row r="40" spans="1:5" ht="14.5" x14ac:dyDescent="0.35">
      <c r="A40" s="220" t="s">
        <v>317</v>
      </c>
      <c r="B40" s="6">
        <v>9</v>
      </c>
      <c r="C40" s="337" t="s">
        <v>432</v>
      </c>
    </row>
    <row r="41" spans="1:5" ht="29" x14ac:dyDescent="0.35">
      <c r="A41" s="227" t="s">
        <v>423</v>
      </c>
      <c r="B41" s="231" t="s">
        <v>449</v>
      </c>
      <c r="C41" s="250" t="s">
        <v>441</v>
      </c>
    </row>
    <row r="42" spans="1:5" ht="14.5" x14ac:dyDescent="0.35"/>
    <row r="43" spans="1:5" ht="14.5" x14ac:dyDescent="0.35"/>
    <row r="44" spans="1:5" ht="14.5" x14ac:dyDescent="0.35"/>
    <row r="45" spans="1:5" ht="14.5" x14ac:dyDescent="0.35"/>
    <row r="46" spans="1:5" ht="14.5" x14ac:dyDescent="0.35"/>
    <row r="47" spans="1:5" ht="14.5" x14ac:dyDescent="0.35"/>
    <row r="48" spans="1:5" ht="14.5" x14ac:dyDescent="0.35"/>
  </sheetData>
  <mergeCells count="4">
    <mergeCell ref="A1:C1"/>
    <mergeCell ref="A13:C13"/>
    <mergeCell ref="A22:C22"/>
    <mergeCell ref="A32:C32"/>
  </mergeCells>
  <conditionalFormatting sqref="B3:B4">
    <cfRule type="cellIs" dxfId="47" priority="22" operator="between">
      <formula>0.5</formula>
      <formula>1</formula>
    </cfRule>
    <cfRule type="cellIs" dxfId="46" priority="23" operator="lessThan">
      <formula>0.5</formula>
    </cfRule>
    <cfRule type="cellIs" dxfId="45" priority="24" operator="greaterThan">
      <formula>1</formula>
    </cfRule>
  </conditionalFormatting>
  <conditionalFormatting sqref="B15:B16">
    <cfRule type="cellIs" dxfId="44" priority="7" operator="between">
      <formula>0.5</formula>
      <formula>1</formula>
    </cfRule>
    <cfRule type="cellIs" dxfId="43" priority="8" operator="lessThan">
      <formula>0.5</formula>
    </cfRule>
    <cfRule type="cellIs" dxfId="42" priority="9" operator="greaterThan">
      <formula>1</formula>
    </cfRule>
  </conditionalFormatting>
  <conditionalFormatting sqref="B24:B25">
    <cfRule type="cellIs" dxfId="41" priority="4" operator="between">
      <formula>0.5</formula>
      <formula>1</formula>
    </cfRule>
    <cfRule type="cellIs" dxfId="40" priority="5" operator="lessThan">
      <formula>0.5</formula>
    </cfRule>
    <cfRule type="cellIs" dxfId="39" priority="6" operator="greaterThan">
      <formula>1</formula>
    </cfRule>
  </conditionalFormatting>
  <conditionalFormatting sqref="B34:B35">
    <cfRule type="cellIs" dxfId="38" priority="1" operator="between">
      <formula>0.5</formula>
      <formula>1</formula>
    </cfRule>
    <cfRule type="cellIs" dxfId="37" priority="2" operator="lessThan">
      <formula>0.5</formula>
    </cfRule>
    <cfRule type="cellIs" dxfId="36" priority="3" operator="greaterThan">
      <formula>1</formula>
    </cfRule>
  </conditionalFormatting>
  <conditionalFormatting sqref="E14">
    <cfRule type="containsText" dxfId="35" priority="30" operator="containsText" text="&lt;10">
      <formula>NOT(ISERROR(SEARCH("&lt;10",E14)))</formula>
    </cfRule>
    <cfRule type="containsText" dxfId="34" priority="31" operator="containsText" text="10-50">
      <formula>NOT(ISERROR(SEARCH("10-50",E14)))</formula>
    </cfRule>
    <cfRule type="containsText" dxfId="33" priority="32" operator="containsText" text="50-100">
      <formula>NOT(ISERROR(SEARCH("50-100",E14)))</formula>
    </cfRule>
    <cfRule type="containsText" dxfId="32" priority="33" operator="containsText" text="100-200">
      <formula>NOT(ISERROR(SEARCH("100-200",E14)))</formula>
    </cfRule>
    <cfRule type="containsText" dxfId="31" priority="34" operator="containsText" text="200-500">
      <formula>NOT(ISERROR(SEARCH("200-500",E14)))</formula>
    </cfRule>
    <cfRule type="containsText" dxfId="30" priority="35" operator="containsText" text="&gt;500">
      <formula>NOT(ISERROR(SEARCH("&gt;500",E14)))</formula>
    </cfRule>
  </conditionalFormatting>
  <conditionalFormatting sqref="E17:E18">
    <cfRule type="containsText" dxfId="29" priority="36" operator="containsText" text="1-3">
      <formula>NOT(ISERROR(SEARCH("1-3",E17)))</formula>
    </cfRule>
    <cfRule type="containsText" dxfId="28" priority="37" operator="containsText" text="4-6">
      <formula>NOT(ISERROR(SEARCH("4-6",E17)))</formula>
    </cfRule>
    <cfRule type="containsText" dxfId="27" priority="38" operator="containsText" text="7-9">
      <formula>NOT(ISERROR(SEARCH("7-9",E17)))</formula>
    </cfRule>
  </conditionalFormatting>
  <hyperlinks>
    <hyperlink ref="C11" r:id="rId1" xr:uid="{EEE86F7B-7DB6-4241-88F1-AFA11B177C76}"/>
    <hyperlink ref="C12" r:id="rId2" xr:uid="{11EF4AB7-2C79-445C-A541-73353A7EDA6C}"/>
    <hyperlink ref="C20" r:id="rId3" xr:uid="{5D062B46-0C17-4FFA-AE1B-0477E2A51414}"/>
    <hyperlink ref="C5" r:id="rId4" xr:uid="{E1B65950-4B67-463A-A75E-CC674A2590D5}"/>
    <hyperlink ref="C21" r:id="rId5" xr:uid="{E1F2D2B3-19B6-4953-96C0-41FC403F8170}"/>
    <hyperlink ref="C31" r:id="rId6" xr:uid="{3E8669AF-0BCC-4D96-B8F9-6BDAC38BA961}"/>
    <hyperlink ref="C26" r:id="rId7" xr:uid="{59BAAC73-8EDE-4A70-BC05-13654D443095}"/>
    <hyperlink ref="C36" r:id="rId8" location=":~:text=Rapid%20Market%20Growth,rates%20in%20certain%20market%20segments." xr:uid="{E3B1E52C-2BA6-4819-8A41-D2B45BE02A87}"/>
    <hyperlink ref="C41" r:id="rId9" xr:uid="{F2EC3996-2C3D-4290-B5DD-7BD8E89B9E6C}"/>
    <hyperlink ref="C8" r:id="rId10" xr:uid="{339D52D5-DCD8-4096-A866-64BDFDA1432E}"/>
    <hyperlink ref="C30" r:id="rId11" display="https://wwwcdn.imo.org/localresources/en/MediaCentre/HotTopics/Documents/Technology Matrix.pdf?utm_source=chatgpt.com" xr:uid="{D4E836FD-7DC5-4EDF-9ADE-AA71347BBBD0}"/>
    <hyperlink ref="C38" r:id="rId12" display="https://www.marketsandmarkets.com/Market-Reports/marine-onboard-communication-control-systems-market-25117530.html" xr:uid="{1955960E-2325-48A3-8F5A-265F5E0FBDDE}"/>
    <hyperlink ref="C40" r:id="rId13" display="https://wwwcdn.imo.org/localresources/en/MediaCentre/HotTopics/Documents/Technology Matrix.pdf?utm_source=chatgpt.com" xr:uid="{FD5A7BB0-55E1-4184-B307-42D24AC8AAC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4C081-823B-4AFF-ACF5-DA0EF7E03783}">
  <sheetPr>
    <tabColor rgb="FFFFC000"/>
  </sheetPr>
  <dimension ref="A1:C52"/>
  <sheetViews>
    <sheetView topLeftCell="A47" zoomScaleNormal="100" workbookViewId="0">
      <selection activeCell="A37" sqref="A37"/>
    </sheetView>
  </sheetViews>
  <sheetFormatPr defaultColWidth="8.81640625" defaultRowHeight="15" customHeight="1" x14ac:dyDescent="0.35"/>
  <cols>
    <col min="1" max="1" width="43.1796875" style="42" customWidth="1"/>
    <col min="2" max="2" width="16.54296875" style="222" customWidth="1"/>
    <col min="3" max="3" width="54.26953125" style="222" customWidth="1"/>
  </cols>
  <sheetData>
    <row r="1" spans="1:3" ht="14.5" x14ac:dyDescent="0.35">
      <c r="A1" s="429" t="s">
        <v>197</v>
      </c>
      <c r="B1" s="429"/>
      <c r="C1" s="429"/>
    </row>
    <row r="2" spans="1:3" ht="14.5" x14ac:dyDescent="0.35">
      <c r="A2" s="240" t="s">
        <v>389</v>
      </c>
      <c r="B2" s="228" t="s">
        <v>390</v>
      </c>
      <c r="C2" s="228" t="s">
        <v>391</v>
      </c>
    </row>
    <row r="3" spans="1:3" ht="14.5" x14ac:dyDescent="0.35">
      <c r="A3" s="176" t="s">
        <v>392</v>
      </c>
      <c r="B3" s="244">
        <f>CO2_Potential_EP!$D$2</f>
        <v>0.27541515348041107</v>
      </c>
      <c r="C3" s="246"/>
    </row>
    <row r="4" spans="1:3" ht="14.5" x14ac:dyDescent="0.35">
      <c r="A4" s="176" t="s">
        <v>393</v>
      </c>
      <c r="B4" s="244">
        <f>CO2_Potential_EP!$C$2</f>
        <v>0.54368985209491816</v>
      </c>
      <c r="C4" s="262"/>
    </row>
    <row r="5" spans="1:3" ht="14.5" x14ac:dyDescent="0.35">
      <c r="A5" s="176" t="s">
        <v>394</v>
      </c>
      <c r="B5" s="6" t="s">
        <v>356</v>
      </c>
      <c r="C5" s="246" t="s">
        <v>450</v>
      </c>
    </row>
    <row r="6" spans="1:3" ht="14.5" x14ac:dyDescent="0.35">
      <c r="A6" s="223" t="s">
        <v>400</v>
      </c>
      <c r="B6" s="6" t="s">
        <v>356</v>
      </c>
      <c r="C6" s="220"/>
    </row>
    <row r="7" spans="1:3" ht="14.5" x14ac:dyDescent="0.35">
      <c r="A7" s="220" t="s">
        <v>316</v>
      </c>
      <c r="B7" s="6" t="s">
        <v>356</v>
      </c>
      <c r="C7" s="220"/>
    </row>
    <row r="8" spans="1:3" ht="14.5" x14ac:dyDescent="0.35">
      <c r="A8" s="220" t="s">
        <v>317</v>
      </c>
      <c r="B8" s="6">
        <v>9</v>
      </c>
      <c r="C8" s="220"/>
    </row>
    <row r="9" spans="1:3" ht="116" x14ac:dyDescent="0.35">
      <c r="A9" s="227" t="s">
        <v>318</v>
      </c>
      <c r="B9" s="6" t="s">
        <v>451</v>
      </c>
      <c r="C9" s="247" t="s">
        <v>452</v>
      </c>
    </row>
    <row r="10" spans="1:3" ht="14.5" x14ac:dyDescent="0.35">
      <c r="A10" s="432" t="s">
        <v>202</v>
      </c>
      <c r="B10" s="432"/>
      <c r="C10" s="432"/>
    </row>
    <row r="11" spans="1:3" ht="14.5" x14ac:dyDescent="0.35">
      <c r="A11" s="240" t="s">
        <v>389</v>
      </c>
      <c r="B11" s="228" t="s">
        <v>390</v>
      </c>
      <c r="C11" s="228" t="s">
        <v>391</v>
      </c>
    </row>
    <row r="12" spans="1:3" ht="14.5" x14ac:dyDescent="0.35">
      <c r="A12" s="176" t="s">
        <v>392</v>
      </c>
      <c r="B12" s="256">
        <f>CO2_Potential_EP!$D$3</f>
        <v>4.5281286245579446E-3</v>
      </c>
      <c r="C12" s="246"/>
    </row>
    <row r="13" spans="1:3" ht="14.5" x14ac:dyDescent="0.35">
      <c r="A13" s="176" t="s">
        <v>393</v>
      </c>
      <c r="B13" s="244">
        <f>CO2_Potential_EP!$C$3</f>
        <v>5.0063991685786256E-2</v>
      </c>
      <c r="C13" s="262"/>
    </row>
    <row r="14" spans="1:3" ht="29" x14ac:dyDescent="0.35">
      <c r="A14" s="433" t="s">
        <v>394</v>
      </c>
      <c r="B14" s="434" t="s">
        <v>356</v>
      </c>
      <c r="C14" s="258" t="s">
        <v>453</v>
      </c>
    </row>
    <row r="15" spans="1:3" ht="43.5" x14ac:dyDescent="0.35">
      <c r="A15" s="433"/>
      <c r="B15" s="434"/>
      <c r="C15" s="258" t="s">
        <v>454</v>
      </c>
    </row>
    <row r="16" spans="1:3" ht="14.5" x14ac:dyDescent="0.35">
      <c r="A16" s="433"/>
      <c r="B16" s="434"/>
      <c r="C16" s="337" t="s">
        <v>455</v>
      </c>
    </row>
    <row r="17" spans="1:3" ht="14.5" x14ac:dyDescent="0.35">
      <c r="A17" s="223" t="s">
        <v>400</v>
      </c>
      <c r="B17" s="6" t="s">
        <v>356</v>
      </c>
      <c r="C17" s="220"/>
    </row>
    <row r="18" spans="1:3" ht="14.5" x14ac:dyDescent="0.35">
      <c r="A18" s="220" t="s">
        <v>316</v>
      </c>
      <c r="B18" s="6" t="s">
        <v>356</v>
      </c>
      <c r="C18" s="220"/>
    </row>
    <row r="19" spans="1:3" ht="14.5" x14ac:dyDescent="0.35">
      <c r="A19" s="220" t="s">
        <v>317</v>
      </c>
      <c r="B19" s="6">
        <v>9</v>
      </c>
      <c r="C19" s="220"/>
    </row>
    <row r="20" spans="1:3" ht="116" x14ac:dyDescent="0.35">
      <c r="A20" s="227" t="s">
        <v>318</v>
      </c>
      <c r="B20" s="6" t="s">
        <v>451</v>
      </c>
      <c r="C20" s="247" t="s">
        <v>452</v>
      </c>
    </row>
    <row r="21" spans="1:3" ht="14.5" x14ac:dyDescent="0.35">
      <c r="A21" s="429" t="s">
        <v>206</v>
      </c>
      <c r="B21" s="429"/>
      <c r="C21" s="429"/>
    </row>
    <row r="22" spans="1:3" ht="14.5" x14ac:dyDescent="0.35">
      <c r="A22" s="240" t="s">
        <v>389</v>
      </c>
      <c r="B22" s="228" t="s">
        <v>390</v>
      </c>
      <c r="C22" s="228" t="s">
        <v>391</v>
      </c>
    </row>
    <row r="23" spans="1:3" ht="14.5" x14ac:dyDescent="0.35">
      <c r="A23" s="176" t="s">
        <v>392</v>
      </c>
      <c r="B23" s="244">
        <f>CO2_Potential_EP!$D$4</f>
        <v>0.16000000000000003</v>
      </c>
      <c r="C23" s="246"/>
    </row>
    <row r="24" spans="1:3" ht="14.5" x14ac:dyDescent="0.35">
      <c r="A24" s="176" t="s">
        <v>393</v>
      </c>
      <c r="B24" s="244">
        <f>CO2_Potential_EP!$C$4</f>
        <v>0.33600000000000019</v>
      </c>
      <c r="C24" s="262"/>
    </row>
    <row r="25" spans="1:3" ht="29" x14ac:dyDescent="0.35">
      <c r="A25" s="433" t="s">
        <v>394</v>
      </c>
      <c r="B25" s="434" t="s">
        <v>356</v>
      </c>
      <c r="C25" s="258" t="s">
        <v>456</v>
      </c>
    </row>
    <row r="26" spans="1:3" ht="43.5" x14ac:dyDescent="0.35">
      <c r="A26" s="433"/>
      <c r="B26" s="434"/>
      <c r="C26" s="258" t="s">
        <v>457</v>
      </c>
    </row>
    <row r="27" spans="1:3" ht="29" x14ac:dyDescent="0.35">
      <c r="A27" s="433"/>
      <c r="B27" s="434"/>
      <c r="C27" s="258" t="s">
        <v>458</v>
      </c>
    </row>
    <row r="28" spans="1:3" ht="14.5" x14ac:dyDescent="0.35">
      <c r="A28" s="433"/>
      <c r="B28" s="434"/>
      <c r="C28" s="337" t="s">
        <v>459</v>
      </c>
    </row>
    <row r="29" spans="1:3" ht="14.5" x14ac:dyDescent="0.35">
      <c r="A29" s="223" t="s">
        <v>400</v>
      </c>
      <c r="B29" s="6" t="s">
        <v>356</v>
      </c>
      <c r="C29" s="220"/>
    </row>
    <row r="30" spans="1:3" ht="14.5" x14ac:dyDescent="0.35">
      <c r="A30" s="220" t="s">
        <v>316</v>
      </c>
      <c r="B30" s="6" t="s">
        <v>356</v>
      </c>
      <c r="C30" s="220"/>
    </row>
    <row r="31" spans="1:3" ht="14.5" x14ac:dyDescent="0.35">
      <c r="A31" s="220" t="s">
        <v>317</v>
      </c>
      <c r="B31" s="6">
        <v>9</v>
      </c>
      <c r="C31" s="220"/>
    </row>
    <row r="32" spans="1:3" ht="116" x14ac:dyDescent="0.35">
      <c r="A32" s="227" t="s">
        <v>318</v>
      </c>
      <c r="B32" s="6" t="s">
        <v>451</v>
      </c>
      <c r="C32" s="247" t="s">
        <v>452</v>
      </c>
    </row>
    <row r="33" spans="1:3" ht="14.5" x14ac:dyDescent="0.35">
      <c r="A33" s="432" t="s">
        <v>210</v>
      </c>
      <c r="B33" s="432"/>
      <c r="C33" s="432"/>
    </row>
    <row r="34" spans="1:3" ht="14.5" x14ac:dyDescent="0.35">
      <c r="A34" s="240" t="s">
        <v>389</v>
      </c>
      <c r="B34" s="228" t="s">
        <v>390</v>
      </c>
      <c r="C34" s="225" t="s">
        <v>391</v>
      </c>
    </row>
    <row r="35" spans="1:3" ht="14.5" x14ac:dyDescent="0.35">
      <c r="A35" s="176" t="s">
        <v>392</v>
      </c>
      <c r="B35" s="255">
        <f>CO2_Potential_EP!$D$5</f>
        <v>0.27271736731186019</v>
      </c>
      <c r="C35" s="246"/>
    </row>
    <row r="36" spans="1:3" ht="14.5" x14ac:dyDescent="0.35">
      <c r="A36" s="176" t="s">
        <v>393</v>
      </c>
      <c r="B36" s="244">
        <f>CO2_Potential_EP!$C$5</f>
        <v>0.75892138640697493</v>
      </c>
      <c r="C36" s="262"/>
    </row>
    <row r="37" spans="1:3" ht="29" x14ac:dyDescent="0.35">
      <c r="A37" s="176" t="s">
        <v>394</v>
      </c>
      <c r="B37" s="6" t="s">
        <v>356</v>
      </c>
      <c r="C37" s="258" t="s">
        <v>460</v>
      </c>
    </row>
    <row r="38" spans="1:3" ht="14.5" x14ac:dyDescent="0.35">
      <c r="A38" s="223" t="s">
        <v>400</v>
      </c>
      <c r="B38" s="6" t="s">
        <v>356</v>
      </c>
      <c r="C38" s="220"/>
    </row>
    <row r="39" spans="1:3" ht="14.5" x14ac:dyDescent="0.35">
      <c r="A39" s="220" t="s">
        <v>316</v>
      </c>
      <c r="B39" s="6" t="s">
        <v>356</v>
      </c>
      <c r="C39" s="220"/>
    </row>
    <row r="40" spans="1:3" ht="14.5" x14ac:dyDescent="0.35">
      <c r="A40" s="220" t="s">
        <v>317</v>
      </c>
      <c r="B40" s="6">
        <v>9</v>
      </c>
      <c r="C40" s="220"/>
    </row>
    <row r="41" spans="1:3" ht="116" x14ac:dyDescent="0.35">
      <c r="A41" s="227" t="s">
        <v>318</v>
      </c>
      <c r="B41" s="6" t="s">
        <v>451</v>
      </c>
      <c r="C41" s="247" t="s">
        <v>452</v>
      </c>
    </row>
    <row r="42" spans="1:3" ht="14.5" x14ac:dyDescent="0.35">
      <c r="A42" s="432" t="s">
        <v>357</v>
      </c>
      <c r="B42" s="432"/>
      <c r="C42" s="432"/>
    </row>
    <row r="43" spans="1:3" ht="14.5" x14ac:dyDescent="0.35">
      <c r="A43" s="240" t="s">
        <v>389</v>
      </c>
      <c r="B43" s="228" t="s">
        <v>390</v>
      </c>
      <c r="C43" s="228" t="s">
        <v>391</v>
      </c>
    </row>
    <row r="44" spans="1:3" ht="14.5" x14ac:dyDescent="0.35">
      <c r="A44" s="176" t="s">
        <v>392</v>
      </c>
      <c r="B44" s="244">
        <f>CO2_Potential_EP!$B$10</f>
        <v>0.81627906976744191</v>
      </c>
      <c r="C44" s="248"/>
    </row>
    <row r="45" spans="1:3" ht="14.5" x14ac:dyDescent="0.35">
      <c r="A45" s="176" t="s">
        <v>393</v>
      </c>
      <c r="B45" s="244">
        <f>CO2_Potential_EP!$B$9</f>
        <v>1.9046511627906975</v>
      </c>
      <c r="C45" s="262"/>
    </row>
    <row r="46" spans="1:3" ht="14.5" x14ac:dyDescent="0.35">
      <c r="A46" s="176" t="s">
        <v>394</v>
      </c>
      <c r="B46" s="6">
        <v>0.98</v>
      </c>
      <c r="C46" s="246" t="s">
        <v>461</v>
      </c>
    </row>
    <row r="47" spans="1:3" ht="14.5" x14ac:dyDescent="0.35">
      <c r="A47" s="176" t="s">
        <v>399</v>
      </c>
      <c r="B47" s="15">
        <v>2022</v>
      </c>
      <c r="C47" s="246"/>
    </row>
    <row r="48" spans="1:3" ht="14.5" x14ac:dyDescent="0.35">
      <c r="A48" s="220" t="s">
        <v>316</v>
      </c>
      <c r="B48" s="230">
        <v>0.104</v>
      </c>
      <c r="C48" s="220"/>
    </row>
    <row r="49" spans="1:3" ht="14.5" x14ac:dyDescent="0.35">
      <c r="A49" s="223" t="s">
        <v>400</v>
      </c>
      <c r="B49" s="229">
        <f>B46*(1+B48)^(2030-B47)</f>
        <v>2.1626122706107971</v>
      </c>
      <c r="C49" s="220"/>
    </row>
    <row r="50" spans="1:3" ht="14.5" x14ac:dyDescent="0.35">
      <c r="A50" s="220" t="s">
        <v>317</v>
      </c>
      <c r="B50" s="6">
        <v>9</v>
      </c>
      <c r="C50" s="220"/>
    </row>
    <row r="51" spans="1:3" ht="116" x14ac:dyDescent="0.35">
      <c r="A51" s="227" t="s">
        <v>318</v>
      </c>
      <c r="B51" s="231" t="s">
        <v>451</v>
      </c>
      <c r="C51" s="249" t="s">
        <v>452</v>
      </c>
    </row>
    <row r="52" spans="1:3" ht="14.5" x14ac:dyDescent="0.35"/>
  </sheetData>
  <mergeCells count="9">
    <mergeCell ref="A42:C42"/>
    <mergeCell ref="A1:C1"/>
    <mergeCell ref="A10:C10"/>
    <mergeCell ref="A21:C21"/>
    <mergeCell ref="A33:C33"/>
    <mergeCell ref="A25:A28"/>
    <mergeCell ref="B25:B28"/>
    <mergeCell ref="A14:A16"/>
    <mergeCell ref="B14:B16"/>
  </mergeCells>
  <conditionalFormatting sqref="B3:B4">
    <cfRule type="cellIs" dxfId="26" priority="25" operator="between">
      <formula>0.5</formula>
      <formula>1</formula>
    </cfRule>
    <cfRule type="cellIs" dxfId="25" priority="26" operator="lessThan">
      <formula>0.5</formula>
    </cfRule>
    <cfRule type="cellIs" dxfId="24" priority="27" operator="greaterThan">
      <formula>1</formula>
    </cfRule>
  </conditionalFormatting>
  <conditionalFormatting sqref="B12:B13">
    <cfRule type="cellIs" dxfId="23" priority="10" operator="between">
      <formula>0.5</formula>
      <formula>1</formula>
    </cfRule>
    <cfRule type="cellIs" dxfId="22" priority="11" operator="lessThan">
      <formula>0.5</formula>
    </cfRule>
    <cfRule type="cellIs" dxfId="21" priority="12" operator="greaterThan">
      <formula>1</formula>
    </cfRule>
  </conditionalFormatting>
  <conditionalFormatting sqref="B23:B24">
    <cfRule type="cellIs" dxfId="20" priority="7" operator="between">
      <formula>0.5</formula>
      <formula>1</formula>
    </cfRule>
    <cfRule type="cellIs" dxfId="19" priority="8" operator="lessThan">
      <formula>0.5</formula>
    </cfRule>
    <cfRule type="cellIs" dxfId="18" priority="9" operator="greaterThan">
      <formula>1</formula>
    </cfRule>
  </conditionalFormatting>
  <conditionalFormatting sqref="B35:B36">
    <cfRule type="cellIs" dxfId="17" priority="4" operator="between">
      <formula>0.5</formula>
      <formula>1</formula>
    </cfRule>
    <cfRule type="cellIs" dxfId="16" priority="5" operator="lessThan">
      <formula>0.5</formula>
    </cfRule>
    <cfRule type="cellIs" dxfId="15" priority="6" operator="greaterThan">
      <formula>1</formula>
    </cfRule>
  </conditionalFormatting>
  <conditionalFormatting sqref="B44:B45">
    <cfRule type="cellIs" dxfId="14" priority="1" operator="between">
      <formula>0.5</formula>
      <formula>1</formula>
    </cfRule>
    <cfRule type="cellIs" dxfId="13" priority="2" operator="lessThan">
      <formula>0.5</formula>
    </cfRule>
    <cfRule type="cellIs" dxfId="12" priority="3" operator="greaterThan">
      <formula>1</formula>
    </cfRule>
  </conditionalFormatting>
  <hyperlinks>
    <hyperlink ref="C46" r:id="rId1" xr:uid="{7E0112E4-0614-4E8C-AF56-251653CCDF2F}"/>
    <hyperlink ref="C5" r:id="rId2" xr:uid="{5544C149-F87C-4358-9A33-1BC42BB963CE}"/>
    <hyperlink ref="C9" r:id="rId3" xr:uid="{EA03F42F-5E15-4CE6-A788-023479029E1B}"/>
    <hyperlink ref="C20" r:id="rId4" xr:uid="{377DF1CB-F614-4B2D-8DF4-6297955C4571}"/>
    <hyperlink ref="C32" r:id="rId5" xr:uid="{B28AA4EC-789F-4CED-9938-B7D1F9D692FE}"/>
    <hyperlink ref="C41" r:id="rId6" xr:uid="{8E166D68-6FE8-4037-8555-617A8657EFB3}"/>
    <hyperlink ref="C51" r:id="rId7" xr:uid="{E670E440-C76E-40F3-8A42-7E48A799E958}"/>
    <hyperlink ref="C28" r:id="rId8" display="https://iopscience.iop.org/article/10.1088/1748-9326/ab7d06/meta" xr:uid="{CBFA7758-4464-45E7-9F02-16B1F3C5ACD2}"/>
    <hyperlink ref="C27" r:id="rId9" display="https://www.sciencedirect.com/science/article/pii/S2212041616300316" xr:uid="{95CEC47C-49A6-4F24-BDF2-9FB178C6885C}"/>
    <hyperlink ref="C26" r:id="rId10" display="https://link.springer.com/article/10.1007/s13280-022-01811-2" xr:uid="{116F9AC5-E6F8-46F3-AC82-8C9CB9A070F4}"/>
    <hyperlink ref="C25" r:id="rId11" xr:uid="{B223B004-57A9-4484-BA19-6CC8428DFA51}"/>
    <hyperlink ref="C37" r:id="rId12" display="https://www.nature.com/articles/s41467-023-37385-0" xr:uid="{9C23017A-14DE-4992-BA0B-99F0CD7C57E7}"/>
    <hyperlink ref="C14" r:id="rId13" display="https://www.researchgate.net/publication/371126789_The_distribution_of_global_tidal_marshes_from_earth_observation_data" xr:uid="{A16E6D1E-07DF-40E3-8006-A47DC645A0AE}"/>
    <hyperlink ref="C15" r:id="rId14" display="https://journals.plos.org/plosone/article?id=10.1371/journal.pone.0257244" xr:uid="{24F387F1-CED3-44BC-8818-6BD223823566}"/>
    <hyperlink ref="C16" r:id="rId15" display="https://repository.library.noaa.gov/view/noaa/38545" xr:uid="{087829A4-F22C-4F76-B39D-E00E9BFC548C}"/>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42DDA-6740-4B62-8EBA-03F0CD5AE26D}">
  <sheetPr>
    <tabColor rgb="FF00B050"/>
  </sheetPr>
  <dimension ref="A1:C42"/>
  <sheetViews>
    <sheetView topLeftCell="A19" workbookViewId="0">
      <selection activeCell="B14" sqref="B14"/>
    </sheetView>
  </sheetViews>
  <sheetFormatPr defaultColWidth="8.81640625" defaultRowHeight="15" customHeight="1" x14ac:dyDescent="0.35"/>
  <cols>
    <col min="1" max="1" width="35.453125" customWidth="1"/>
    <col min="2" max="2" width="24.26953125" style="219" customWidth="1"/>
    <col min="3" max="3" width="42.1796875" style="222" customWidth="1"/>
  </cols>
  <sheetData>
    <row r="1" spans="1:3" ht="14.5" x14ac:dyDescent="0.35">
      <c r="A1" s="429" t="s">
        <v>462</v>
      </c>
      <c r="B1" s="429"/>
      <c r="C1" s="429"/>
    </row>
    <row r="2" spans="1:3" ht="14.5" x14ac:dyDescent="0.35">
      <c r="A2" s="235" t="s">
        <v>389</v>
      </c>
      <c r="B2" s="239" t="s">
        <v>390</v>
      </c>
      <c r="C2" s="228" t="s">
        <v>391</v>
      </c>
    </row>
    <row r="3" spans="1:3" ht="14.5" x14ac:dyDescent="0.35">
      <c r="A3" s="176" t="s">
        <v>392</v>
      </c>
      <c r="B3" s="244">
        <f>CO2_Potential_MA!$B$12</f>
        <v>5.1452891223876876E-3</v>
      </c>
      <c r="C3" s="246"/>
    </row>
    <row r="4" spans="1:3" ht="14.5" x14ac:dyDescent="0.35">
      <c r="A4" s="176" t="s">
        <v>393</v>
      </c>
      <c r="B4" s="244">
        <f>CO2_Potential_MA!$B$11</f>
        <v>2.395406925951667E-2</v>
      </c>
      <c r="C4" s="262"/>
    </row>
    <row r="5" spans="1:3" ht="14.5" x14ac:dyDescent="0.35">
      <c r="A5" s="176" t="s">
        <v>394</v>
      </c>
      <c r="B5" s="219">
        <v>0.33</v>
      </c>
      <c r="C5" s="246"/>
    </row>
    <row r="6" spans="1:3" ht="29" x14ac:dyDescent="0.35">
      <c r="A6" s="223" t="s">
        <v>400</v>
      </c>
      <c r="B6" s="237">
        <v>0.73299999999999998</v>
      </c>
      <c r="C6" s="251" t="s">
        <v>226</v>
      </c>
    </row>
    <row r="7" spans="1:3" ht="29" x14ac:dyDescent="0.35">
      <c r="A7" s="220" t="s">
        <v>316</v>
      </c>
      <c r="B7" s="238">
        <v>0.12</v>
      </c>
      <c r="C7" s="251" t="s">
        <v>226</v>
      </c>
    </row>
    <row r="8" spans="1:3" ht="14.5" x14ac:dyDescent="0.35">
      <c r="A8" s="220" t="s">
        <v>317</v>
      </c>
      <c r="B8" s="219" t="s">
        <v>356</v>
      </c>
      <c r="C8" s="246"/>
    </row>
    <row r="9" spans="1:3" ht="43.5" x14ac:dyDescent="0.35">
      <c r="A9" s="220" t="s">
        <v>318</v>
      </c>
      <c r="B9" s="219" t="s">
        <v>463</v>
      </c>
      <c r="C9" s="252" t="s">
        <v>464</v>
      </c>
    </row>
    <row r="10" spans="1:3" ht="14.5" x14ac:dyDescent="0.35">
      <c r="A10" s="429" t="s">
        <v>465</v>
      </c>
      <c r="B10" s="429"/>
      <c r="C10" s="429"/>
    </row>
    <row r="11" spans="1:3" ht="14.5" x14ac:dyDescent="0.35">
      <c r="A11" s="235" t="s">
        <v>389</v>
      </c>
      <c r="B11" s="267" t="s">
        <v>390</v>
      </c>
      <c r="C11" s="228" t="s">
        <v>391</v>
      </c>
    </row>
    <row r="12" spans="1:3" ht="14.5" x14ac:dyDescent="0.35">
      <c r="A12" s="176" t="s">
        <v>392</v>
      </c>
      <c r="B12" s="268">
        <f>CO2_Potential_MA!$B$23</f>
        <v>4.0191270186018058E-3</v>
      </c>
      <c r="C12" s="246"/>
    </row>
    <row r="13" spans="1:3" ht="14.5" x14ac:dyDescent="0.35">
      <c r="A13" s="176" t="s">
        <v>393</v>
      </c>
      <c r="B13" s="244">
        <f>CO2_Potential_MA!$B$22</f>
        <v>1.8711183118453399E-2</v>
      </c>
      <c r="C13" s="262"/>
    </row>
    <row r="14" spans="1:3" ht="29" x14ac:dyDescent="0.35">
      <c r="A14" s="176" t="s">
        <v>394</v>
      </c>
      <c r="B14" s="219">
        <v>0.98</v>
      </c>
      <c r="C14" s="246" t="s">
        <v>466</v>
      </c>
    </row>
    <row r="15" spans="1:3" ht="14.5" x14ac:dyDescent="0.35">
      <c r="A15" s="176" t="s">
        <v>399</v>
      </c>
      <c r="B15" s="4">
        <v>2022</v>
      </c>
      <c r="C15" s="246"/>
    </row>
    <row r="16" spans="1:3" ht="29" x14ac:dyDescent="0.35">
      <c r="A16" s="220" t="s">
        <v>316</v>
      </c>
      <c r="B16" s="238">
        <v>0.104</v>
      </c>
      <c r="C16" s="246" t="s">
        <v>466</v>
      </c>
    </row>
    <row r="17" spans="1:3" ht="14.5" x14ac:dyDescent="0.35">
      <c r="A17" s="223" t="s">
        <v>400</v>
      </c>
      <c r="B17" s="237">
        <f>B14*(1+B16)^(2030-B15)</f>
        <v>2.1626122706107971</v>
      </c>
      <c r="C17" s="246"/>
    </row>
    <row r="18" spans="1:3" ht="29" x14ac:dyDescent="0.35">
      <c r="A18" s="220" t="s">
        <v>317</v>
      </c>
      <c r="B18" s="219">
        <v>7</v>
      </c>
      <c r="C18" s="246" t="s">
        <v>467</v>
      </c>
    </row>
    <row r="19" spans="1:3" ht="145" x14ac:dyDescent="0.35">
      <c r="A19" s="220" t="s">
        <v>318</v>
      </c>
      <c r="B19" s="236" t="s">
        <v>468</v>
      </c>
      <c r="C19" s="252" t="s">
        <v>464</v>
      </c>
    </row>
    <row r="20" spans="1:3" ht="14.5" x14ac:dyDescent="0.35">
      <c r="A20" s="429" t="s">
        <v>352</v>
      </c>
      <c r="B20" s="429"/>
      <c r="C20" s="429"/>
    </row>
    <row r="21" spans="1:3" ht="14.5" x14ac:dyDescent="0.35">
      <c r="A21" s="240" t="s">
        <v>389</v>
      </c>
      <c r="B21" s="239" t="s">
        <v>390</v>
      </c>
      <c r="C21" s="228" t="s">
        <v>391</v>
      </c>
    </row>
    <row r="22" spans="1:3" ht="14.5" x14ac:dyDescent="0.35">
      <c r="A22" s="176" t="s">
        <v>392</v>
      </c>
      <c r="B22" s="255">
        <f>CO2_Potential_MA!$B$32</f>
        <v>1.1320000762380114</v>
      </c>
      <c r="C22" s="246"/>
    </row>
    <row r="23" spans="1:3" ht="14.5" x14ac:dyDescent="0.35">
      <c r="A23" s="176" t="s">
        <v>393</v>
      </c>
      <c r="B23" s="244">
        <f>CO2_Potential_MA!$B$31</f>
        <v>5.2700650212247355</v>
      </c>
      <c r="C23" s="262"/>
    </row>
    <row r="24" spans="1:3" ht="29" x14ac:dyDescent="0.35">
      <c r="A24" s="176" t="s">
        <v>394</v>
      </c>
      <c r="B24" s="219">
        <v>14.86</v>
      </c>
      <c r="C24" s="251" t="s">
        <v>226</v>
      </c>
    </row>
    <row r="25" spans="1:3" ht="14.5" x14ac:dyDescent="0.35">
      <c r="A25" s="176" t="s">
        <v>399</v>
      </c>
      <c r="B25" s="4">
        <v>2023</v>
      </c>
      <c r="C25" s="246"/>
    </row>
    <row r="26" spans="1:3" ht="29" x14ac:dyDescent="0.35">
      <c r="A26" s="220" t="s">
        <v>316</v>
      </c>
      <c r="B26" s="238">
        <v>4.0399999999999998E-2</v>
      </c>
      <c r="C26" s="251" t="s">
        <v>226</v>
      </c>
    </row>
    <row r="27" spans="1:3" ht="14.5" x14ac:dyDescent="0.35">
      <c r="A27" s="223" t="s">
        <v>400</v>
      </c>
      <c r="B27" s="237">
        <f>B24*(1+B26)^(2030-B25)</f>
        <v>19.60745441911428</v>
      </c>
      <c r="C27" s="246"/>
    </row>
    <row r="28" spans="1:3" ht="43.5" x14ac:dyDescent="0.35">
      <c r="A28" s="220" t="s">
        <v>317</v>
      </c>
      <c r="B28" s="219">
        <v>4</v>
      </c>
      <c r="C28" s="246" t="s">
        <v>469</v>
      </c>
    </row>
    <row r="29" spans="1:3" ht="116" x14ac:dyDescent="0.35">
      <c r="A29" s="227" t="s">
        <v>318</v>
      </c>
      <c r="B29" s="236" t="s">
        <v>470</v>
      </c>
      <c r="C29" s="252" t="s">
        <v>464</v>
      </c>
    </row>
    <row r="30" spans="1:3" ht="14.5" x14ac:dyDescent="0.35">
      <c r="A30" s="435"/>
      <c r="B30" s="435"/>
      <c r="C30" s="435"/>
    </row>
    <row r="31" spans="1:3" ht="14.5" x14ac:dyDescent="0.35"/>
    <row r="32" spans="1:3" ht="14.5" x14ac:dyDescent="0.35"/>
    <row r="33" ht="14.5" x14ac:dyDescent="0.35"/>
    <row r="34" ht="14.5" x14ac:dyDescent="0.35"/>
    <row r="35" ht="14.5" x14ac:dyDescent="0.35"/>
    <row r="36" ht="14.5" x14ac:dyDescent="0.35"/>
    <row r="37" ht="14.5" x14ac:dyDescent="0.35"/>
    <row r="38" ht="14.5" x14ac:dyDescent="0.35"/>
    <row r="39" ht="14.5" x14ac:dyDescent="0.35"/>
    <row r="40" ht="14.5" x14ac:dyDescent="0.35"/>
    <row r="41" ht="14.5" x14ac:dyDescent="0.35"/>
    <row r="42" ht="14.5" x14ac:dyDescent="0.35"/>
  </sheetData>
  <mergeCells count="4">
    <mergeCell ref="A30:C30"/>
    <mergeCell ref="A20:C20"/>
    <mergeCell ref="A10:C10"/>
    <mergeCell ref="A1:C1"/>
  </mergeCells>
  <conditionalFormatting sqref="B3:B4">
    <cfRule type="cellIs" dxfId="11" priority="13" operator="between">
      <formula>0.5</formula>
      <formula>1</formula>
    </cfRule>
    <cfRule type="cellIs" dxfId="10" priority="14" operator="lessThan">
      <formula>0.5</formula>
    </cfRule>
    <cfRule type="cellIs" dxfId="9" priority="15" operator="greaterThan">
      <formula>1</formula>
    </cfRule>
  </conditionalFormatting>
  <conditionalFormatting sqref="B12:B13">
    <cfRule type="cellIs" dxfId="8" priority="4" operator="between">
      <formula>0.5</formula>
      <formula>1</formula>
    </cfRule>
    <cfRule type="cellIs" dxfId="7" priority="5" operator="lessThan">
      <formula>0.5</formula>
    </cfRule>
    <cfRule type="cellIs" dxfId="6" priority="6" operator="greaterThan">
      <formula>1</formula>
    </cfRule>
  </conditionalFormatting>
  <conditionalFormatting sqref="B22:B23">
    <cfRule type="cellIs" dxfId="5" priority="1" operator="between">
      <formula>0.5</formula>
      <formula>1</formula>
    </cfRule>
    <cfRule type="cellIs" dxfId="4" priority="2" operator="lessThan">
      <formula>0.5</formula>
    </cfRule>
    <cfRule type="cellIs" dxfId="3" priority="3" operator="greaterThan">
      <formula>1</formula>
    </cfRule>
  </conditionalFormatting>
  <hyperlinks>
    <hyperlink ref="C18" r:id="rId1" xr:uid="{FFE244FB-ACF3-45F2-9140-20209BA88B63}"/>
    <hyperlink ref="C14" r:id="rId2" xr:uid="{8AD1DCC2-1571-44CF-B467-1235B567F241}"/>
    <hyperlink ref="C16" r:id="rId3" xr:uid="{8553505A-1307-448A-9ECE-D6BB0A595DE3}"/>
    <hyperlink ref="C29" r:id="rId4" xr:uid="{714D6206-24ED-42FA-BABB-7304969D9185}"/>
    <hyperlink ref="C19" r:id="rId5" xr:uid="{28025AF1-EDB1-473A-82F1-64C06BD31C98}"/>
    <hyperlink ref="C9" r:id="rId6" xr:uid="{10AB0332-74FA-4422-B3B8-ADDBE825DC9C}"/>
    <hyperlink ref="C6" r:id="rId7" display="https://www.worldbank.org/en/topic/environment/publication/global-seaweed-new-and-emerging-markets-report-2023" xr:uid="{9E217DC3-5AE2-4E6E-8A15-0D4D166C05A8}"/>
    <hyperlink ref="C7" r:id="rId8" display="https://www.worldbank.org/en/topic/environment/publication/global-seaweed-new-and-emerging-markets-report-2023" xr:uid="{797A509B-6CEE-4AC9-94E6-5D69FF653009}"/>
    <hyperlink ref="C24" r:id="rId9" display="https://www.worldbank.org/en/topic/environment/publication/global-seaweed-new-and-emerging-markets-report-2023" xr:uid="{F37A30EB-3024-40BC-ADFF-2372098E6E97}"/>
    <hyperlink ref="C26" r:id="rId10" display="https://www.worldbank.org/en/topic/environment/publication/global-seaweed-new-and-emerging-markets-report-2023" xr:uid="{DE3ACE51-29C1-4992-9E5A-F9C203C451F7}"/>
    <hyperlink ref="C28" r:id="rId11" xr:uid="{3ACD81C0-7607-49AF-B281-8BB1ABCED22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88A3B-D482-4D0E-9CA2-F1BEA34467BC}">
  <sheetPr>
    <tabColor rgb="FF92D050"/>
  </sheetPr>
  <dimension ref="A1:C13"/>
  <sheetViews>
    <sheetView topLeftCell="A4" workbookViewId="0">
      <selection activeCell="C10" sqref="A10:XFD10"/>
    </sheetView>
  </sheetViews>
  <sheetFormatPr defaultColWidth="8.81640625" defaultRowHeight="15" customHeight="1" x14ac:dyDescent="0.35"/>
  <cols>
    <col min="1" max="1" width="37.1796875" customWidth="1"/>
    <col min="2" max="2" width="15.453125" customWidth="1"/>
    <col min="3" max="3" width="42.1796875" style="1" customWidth="1"/>
  </cols>
  <sheetData>
    <row r="1" spans="1:3" ht="14.5" x14ac:dyDescent="0.35">
      <c r="A1" s="429" t="s">
        <v>471</v>
      </c>
      <c r="B1" s="429"/>
      <c r="C1" s="429"/>
    </row>
    <row r="2" spans="1:3" ht="14.5" x14ac:dyDescent="0.35">
      <c r="A2" s="240" t="s">
        <v>389</v>
      </c>
      <c r="B2" s="235" t="s">
        <v>390</v>
      </c>
      <c r="C2" s="239" t="s">
        <v>391</v>
      </c>
    </row>
    <row r="3" spans="1:3" ht="14.5" x14ac:dyDescent="0.35">
      <c r="A3" s="176" t="s">
        <v>392</v>
      </c>
      <c r="B3" s="244">
        <f>CO2_Potential_MI!$B$13</f>
        <v>1.5914392927706809</v>
      </c>
      <c r="C3" s="112"/>
    </row>
    <row r="4" spans="1:3" ht="14.5" x14ac:dyDescent="0.35">
      <c r="A4" s="176" t="s">
        <v>393</v>
      </c>
      <c r="B4" s="244">
        <v>2</v>
      </c>
      <c r="C4" s="262"/>
    </row>
    <row r="5" spans="1:3" ht="29" x14ac:dyDescent="0.35">
      <c r="A5" s="176" t="s">
        <v>394</v>
      </c>
      <c r="B5" s="4">
        <v>9.3000000000000007</v>
      </c>
      <c r="C5" s="258" t="s">
        <v>472</v>
      </c>
    </row>
    <row r="6" spans="1:3" ht="14.5" x14ac:dyDescent="0.35">
      <c r="A6" s="176" t="s">
        <v>399</v>
      </c>
      <c r="B6" s="4">
        <v>2024</v>
      </c>
      <c r="C6" s="258"/>
    </row>
    <row r="7" spans="1:3" ht="29" x14ac:dyDescent="0.35">
      <c r="A7" s="176" t="s">
        <v>316</v>
      </c>
      <c r="B7" s="232">
        <v>8.7599999999999997E-2</v>
      </c>
      <c r="C7" s="258" t="s">
        <v>472</v>
      </c>
    </row>
    <row r="8" spans="1:3" ht="14.5" x14ac:dyDescent="0.35">
      <c r="A8" s="176" t="s">
        <v>400</v>
      </c>
      <c r="B8" s="7">
        <f>B5*(1+B7)^(2030-B6)</f>
        <v>15.392109420468921</v>
      </c>
      <c r="C8" s="258"/>
    </row>
    <row r="9" spans="1:3" ht="14.5" x14ac:dyDescent="0.35">
      <c r="A9" s="223" t="s">
        <v>473</v>
      </c>
      <c r="B9" s="7">
        <v>20.11</v>
      </c>
      <c r="C9" s="112"/>
    </row>
    <row r="10" spans="1:3" ht="29" x14ac:dyDescent="0.35">
      <c r="A10" s="434" t="s">
        <v>317</v>
      </c>
      <c r="B10" s="436">
        <v>6</v>
      </c>
      <c r="C10" s="258" t="s">
        <v>474</v>
      </c>
    </row>
    <row r="11" spans="1:3" ht="29" x14ac:dyDescent="0.35">
      <c r="A11" s="434"/>
      <c r="B11" s="436"/>
      <c r="C11" s="258" t="s">
        <v>475</v>
      </c>
    </row>
    <row r="12" spans="1:3" ht="43.5" x14ac:dyDescent="0.35">
      <c r="A12" s="434"/>
      <c r="B12" s="436"/>
      <c r="C12" s="258" t="s">
        <v>476</v>
      </c>
    </row>
    <row r="13" spans="1:3" ht="43.5" x14ac:dyDescent="0.35">
      <c r="A13" s="227" t="s">
        <v>318</v>
      </c>
      <c r="B13" s="236" t="s">
        <v>477</v>
      </c>
      <c r="C13" s="242"/>
    </row>
  </sheetData>
  <mergeCells count="3">
    <mergeCell ref="A1:C1"/>
    <mergeCell ref="A10:A12"/>
    <mergeCell ref="B10:B12"/>
  </mergeCells>
  <conditionalFormatting sqref="B3:B4">
    <cfRule type="cellIs" dxfId="2" priority="4" operator="between">
      <formula>0.5</formula>
      <formula>1</formula>
    </cfRule>
    <cfRule type="cellIs" dxfId="1" priority="5" operator="lessThan">
      <formula>0.5</formula>
    </cfRule>
    <cfRule type="cellIs" dxfId="0" priority="6" operator="greaterThan">
      <formula>1</formula>
    </cfRule>
  </conditionalFormatting>
  <hyperlinks>
    <hyperlink ref="C12" r:id="rId1" display="https://www.mdpi.com/1996-1073/16/1/81" xr:uid="{3F4FA38F-161A-467B-87FD-AF0B6CBE620E}"/>
    <hyperlink ref="C11" r:id="rId2" location="pbio-3002063-t002" display="https://journals.plos.org/plosbiology/article?id=10.1371/journal.pbio.3002063 - pbio-3002063-t002" xr:uid="{D06EA3C4-E331-4BE8-B165-DF8A00ACF97A}"/>
    <hyperlink ref="C10" r:id="rId3" display="https://news.mongabay.com/2023/05/as-exxon-bows-out-industry-takes-step-toward-sustainable-algae-biofuels/" xr:uid="{59408A6E-EF49-4D8E-8EE0-3FE0F0662C02}"/>
    <hyperlink ref="C5" r:id="rId4" display="https://straitsresearch.com/report/algae-biofuel-market" xr:uid="{CA99BD06-8397-42C6-8D9A-F62BD7522CC0}"/>
    <hyperlink ref="C7" r:id="rId5" display="https://straitsresearch.com/report/algae-biofuel-market" xr:uid="{61777758-2341-48BF-9D4F-AAD527B1454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6E581-4C7A-4C16-8F66-99F34818CCB4}">
  <dimension ref="A1:V65"/>
  <sheetViews>
    <sheetView zoomScale="80" zoomScaleNormal="80" workbookViewId="0">
      <selection activeCell="B57" sqref="B57:B65"/>
    </sheetView>
  </sheetViews>
  <sheetFormatPr defaultRowHeight="14.5" x14ac:dyDescent="0.35"/>
  <cols>
    <col min="1" max="1" width="38.81640625" bestFit="1" customWidth="1"/>
    <col min="2" max="2" width="25.1796875" bestFit="1" customWidth="1"/>
    <col min="3" max="5" width="14.1796875" bestFit="1" customWidth="1"/>
    <col min="6" max="6" width="15.81640625" bestFit="1" customWidth="1"/>
    <col min="7" max="7" width="44.26953125" bestFit="1" customWidth="1"/>
    <col min="8" max="8" width="70.1796875" customWidth="1"/>
  </cols>
  <sheetData>
    <row r="1" spans="1:15" ht="23.5" customHeight="1" x14ac:dyDescent="0.35">
      <c r="A1" s="416" t="s">
        <v>478</v>
      </c>
      <c r="B1" s="416"/>
      <c r="C1" s="416"/>
      <c r="D1" s="416"/>
      <c r="E1" s="416"/>
      <c r="F1" s="416"/>
      <c r="G1" s="416"/>
      <c r="H1" s="416"/>
      <c r="I1" s="416"/>
      <c r="J1" s="416"/>
      <c r="K1" s="416"/>
      <c r="L1" s="416"/>
      <c r="M1" s="416"/>
      <c r="N1" s="416"/>
      <c r="O1" s="416"/>
    </row>
    <row r="2" spans="1:15" ht="15.5" x14ac:dyDescent="0.35">
      <c r="A2" s="440" t="s">
        <v>309</v>
      </c>
      <c r="B2" s="440"/>
      <c r="C2" s="440"/>
      <c r="D2" s="440"/>
      <c r="E2" s="440"/>
      <c r="F2" s="440"/>
      <c r="G2" s="440"/>
      <c r="H2" s="440"/>
      <c r="I2" s="440"/>
      <c r="J2" s="440"/>
      <c r="K2" s="440"/>
      <c r="L2" s="440"/>
      <c r="M2" s="440"/>
      <c r="N2" s="440"/>
      <c r="O2" s="440"/>
    </row>
    <row r="3" spans="1:15" ht="83.5" customHeight="1" x14ac:dyDescent="0.35">
      <c r="A3" s="449" t="s">
        <v>479</v>
      </c>
      <c r="B3" s="449"/>
      <c r="C3" s="449"/>
      <c r="D3" s="449"/>
      <c r="E3" s="449"/>
      <c r="F3" s="449"/>
      <c r="G3" s="449"/>
      <c r="H3" s="449"/>
      <c r="I3" s="449"/>
      <c r="J3" s="449"/>
      <c r="K3" s="449"/>
      <c r="L3" s="449"/>
      <c r="M3" s="449"/>
      <c r="N3" s="449"/>
      <c r="O3" s="449"/>
    </row>
    <row r="4" spans="1:15" ht="15" thickBot="1" x14ac:dyDescent="0.4">
      <c r="A4" s="310"/>
      <c r="B4" s="310"/>
      <c r="C4" s="310"/>
      <c r="D4" s="310"/>
      <c r="E4" s="310"/>
      <c r="F4" s="310"/>
      <c r="G4" s="310"/>
      <c r="H4" s="310"/>
      <c r="I4" s="310"/>
      <c r="J4" s="310"/>
      <c r="K4" s="310"/>
      <c r="L4" s="310"/>
      <c r="M4" s="310"/>
      <c r="N4" s="310"/>
      <c r="O4" s="310"/>
    </row>
    <row r="5" spans="1:15" s="77" customFormat="1" ht="15.5" x14ac:dyDescent="0.35">
      <c r="A5" s="451" t="s">
        <v>480</v>
      </c>
      <c r="B5" s="451"/>
      <c r="C5" s="451"/>
      <c r="D5" s="451"/>
      <c r="E5" s="451"/>
      <c r="F5" s="451"/>
      <c r="G5" s="451"/>
      <c r="H5" s="451"/>
      <c r="I5" s="451"/>
      <c r="J5" s="451"/>
      <c r="K5" s="451"/>
      <c r="L5" s="451"/>
      <c r="M5" s="451"/>
      <c r="N5" s="451"/>
      <c r="O5" s="451"/>
    </row>
    <row r="6" spans="1:15" ht="19.5" x14ac:dyDescent="0.35">
      <c r="A6" s="450" t="s">
        <v>481</v>
      </c>
      <c r="B6" s="450"/>
      <c r="C6" s="450"/>
      <c r="D6" s="450"/>
      <c r="E6" s="450"/>
      <c r="F6" s="450"/>
      <c r="G6" s="450"/>
      <c r="H6" s="450"/>
      <c r="I6" s="450"/>
      <c r="J6" s="450"/>
      <c r="K6" s="450"/>
      <c r="L6" s="450"/>
      <c r="M6" s="450"/>
      <c r="N6" s="450"/>
      <c r="O6" s="450"/>
    </row>
    <row r="7" spans="1:15" x14ac:dyDescent="0.35">
      <c r="A7" s="439" t="s">
        <v>344</v>
      </c>
      <c r="B7" s="439"/>
      <c r="C7" s="439"/>
      <c r="D7" s="439"/>
      <c r="E7" s="439"/>
      <c r="F7" s="439"/>
      <c r="G7" s="439"/>
      <c r="H7" s="439"/>
      <c r="I7" s="439"/>
      <c r="J7" s="439"/>
      <c r="K7" s="439"/>
      <c r="L7" s="439"/>
      <c r="M7" s="439"/>
      <c r="N7" s="439"/>
      <c r="O7" s="439"/>
    </row>
    <row r="8" spans="1:15" s="1" customFormat="1" x14ac:dyDescent="0.35">
      <c r="A8" s="283" t="s">
        <v>482</v>
      </c>
      <c r="B8" s="279" t="s">
        <v>483</v>
      </c>
      <c r="C8" s="279" t="s">
        <v>484</v>
      </c>
      <c r="D8" s="279" t="s">
        <v>485</v>
      </c>
      <c r="E8" s="283" t="s">
        <v>486</v>
      </c>
      <c r="F8" s="283" t="s">
        <v>487</v>
      </c>
      <c r="G8" s="278"/>
      <c r="H8" s="278"/>
      <c r="I8" s="455" t="s">
        <v>488</v>
      </c>
      <c r="J8" s="455"/>
      <c r="K8" s="455"/>
      <c r="L8" s="455"/>
      <c r="M8" s="455"/>
      <c r="N8" s="455"/>
      <c r="O8" s="455"/>
    </row>
    <row r="9" spans="1:15" ht="14.5" customHeight="1" x14ac:dyDescent="0.35">
      <c r="A9" s="271" t="s">
        <v>489</v>
      </c>
      <c r="B9" s="272">
        <v>31527</v>
      </c>
      <c r="C9" s="284">
        <v>0.46</v>
      </c>
      <c r="D9" s="272">
        <f>B9*C9*24*365</f>
        <v>127041199.2</v>
      </c>
      <c r="E9" s="280">
        <v>65</v>
      </c>
      <c r="F9" s="285">
        <f>D9*E9/10^9</f>
        <v>8.2576779479999995</v>
      </c>
      <c r="G9" s="443"/>
      <c r="H9" s="443"/>
      <c r="I9" s="446" t="s">
        <v>490</v>
      </c>
      <c r="J9" s="446"/>
      <c r="K9" s="446"/>
      <c r="L9" s="446"/>
      <c r="M9" s="446"/>
      <c r="N9" s="446"/>
      <c r="O9" s="446"/>
    </row>
    <row r="10" spans="1:15" x14ac:dyDescent="0.35">
      <c r="A10" s="271" t="s">
        <v>491</v>
      </c>
      <c r="B10" s="272">
        <v>14741</v>
      </c>
      <c r="C10" s="284">
        <v>0.46</v>
      </c>
      <c r="D10" s="272">
        <f t="shared" ref="D10:D13" si="0">B10*C10*24*365</f>
        <v>59400333.600000001</v>
      </c>
      <c r="E10" s="280">
        <v>91</v>
      </c>
      <c r="F10" s="285">
        <f t="shared" ref="F10:F13" si="1">D10*E10/10^9</f>
        <v>5.4054303576000002</v>
      </c>
      <c r="G10" s="443"/>
      <c r="H10" s="443"/>
      <c r="I10" s="445"/>
      <c r="J10" s="445"/>
      <c r="K10" s="445"/>
      <c r="L10" s="445"/>
      <c r="M10" s="445"/>
      <c r="N10" s="445"/>
      <c r="O10" s="445"/>
    </row>
    <row r="11" spans="1:15" x14ac:dyDescent="0.35">
      <c r="A11" s="271" t="s">
        <v>492</v>
      </c>
      <c r="B11" s="272">
        <v>8300</v>
      </c>
      <c r="C11" s="284">
        <v>0.46</v>
      </c>
      <c r="D11" s="272">
        <f t="shared" si="0"/>
        <v>33445680</v>
      </c>
      <c r="E11" s="280">
        <v>92</v>
      </c>
      <c r="F11" s="285">
        <f t="shared" si="1"/>
        <v>3.0770025599999999</v>
      </c>
      <c r="G11" s="443"/>
      <c r="H11" s="443"/>
      <c r="I11" s="445"/>
      <c r="J11" s="445"/>
      <c r="K11" s="445"/>
      <c r="L11" s="445"/>
      <c r="M11" s="445"/>
      <c r="N11" s="445"/>
      <c r="O11" s="445"/>
    </row>
    <row r="12" spans="1:15" x14ac:dyDescent="0.35">
      <c r="A12" s="271" t="s">
        <v>493</v>
      </c>
      <c r="B12" s="272">
        <v>5269</v>
      </c>
      <c r="C12" s="284">
        <v>0.46</v>
      </c>
      <c r="D12" s="272">
        <f t="shared" si="0"/>
        <v>21231962.400000002</v>
      </c>
      <c r="E12" s="280">
        <v>92</v>
      </c>
      <c r="F12" s="285">
        <f t="shared" si="1"/>
        <v>1.9533405408000002</v>
      </c>
      <c r="G12" s="443"/>
      <c r="H12" s="443"/>
      <c r="I12" s="445"/>
      <c r="J12" s="445"/>
      <c r="K12" s="445"/>
      <c r="L12" s="445"/>
      <c r="M12" s="445"/>
      <c r="N12" s="445"/>
      <c r="O12" s="445"/>
    </row>
    <row r="13" spans="1:15" x14ac:dyDescent="0.35">
      <c r="A13" s="271" t="s">
        <v>494</v>
      </c>
      <c r="B13" s="272">
        <v>7638</v>
      </c>
      <c r="C13" s="284">
        <v>0.46</v>
      </c>
      <c r="D13" s="272">
        <f t="shared" si="0"/>
        <v>30778084.800000001</v>
      </c>
      <c r="E13" s="280">
        <v>92</v>
      </c>
      <c r="F13" s="285">
        <f t="shared" si="1"/>
        <v>2.8315838015999999</v>
      </c>
      <c r="G13" s="443"/>
      <c r="H13" s="443"/>
      <c r="I13" s="445"/>
      <c r="J13" s="445"/>
      <c r="K13" s="445"/>
      <c r="L13" s="445"/>
      <c r="M13" s="445"/>
      <c r="N13" s="445"/>
      <c r="O13" s="445"/>
    </row>
    <row r="14" spans="1:15" ht="39" customHeight="1" x14ac:dyDescent="0.35">
      <c r="A14" s="458" t="s">
        <v>495</v>
      </c>
      <c r="B14" s="459"/>
      <c r="C14" s="459"/>
      <c r="D14" s="459"/>
      <c r="E14" s="459"/>
      <c r="F14" s="285">
        <f>SUM(F9:F13)</f>
        <v>21.525035207999998</v>
      </c>
      <c r="G14" s="443"/>
      <c r="H14" s="443"/>
      <c r="I14" s="445"/>
      <c r="J14" s="445"/>
      <c r="K14" s="445"/>
      <c r="L14" s="445"/>
      <c r="M14" s="445"/>
      <c r="N14" s="445"/>
      <c r="O14" s="445"/>
    </row>
    <row r="15" spans="1:15" ht="22" customHeight="1" x14ac:dyDescent="0.35">
      <c r="A15" s="271" t="s">
        <v>496</v>
      </c>
      <c r="B15" s="280"/>
      <c r="C15" s="280"/>
      <c r="D15" s="280"/>
      <c r="E15" s="280"/>
      <c r="F15" s="350">
        <v>43.6</v>
      </c>
      <c r="G15" s="273"/>
      <c r="H15" s="273"/>
      <c r="I15" s="445" t="s">
        <v>395</v>
      </c>
      <c r="J15" s="445"/>
      <c r="K15" s="445"/>
      <c r="L15" s="445"/>
      <c r="M15" s="445"/>
      <c r="N15" s="445"/>
      <c r="O15" s="445"/>
    </row>
    <row r="16" spans="1:15" ht="27.65" customHeight="1" x14ac:dyDescent="0.35">
      <c r="A16" s="457" t="s">
        <v>497</v>
      </c>
      <c r="B16" s="457"/>
      <c r="C16" s="457"/>
      <c r="D16" s="457"/>
      <c r="E16" s="457"/>
      <c r="F16" s="457"/>
      <c r="G16" s="457"/>
      <c r="H16" s="280"/>
      <c r="I16" s="280"/>
      <c r="J16" s="280"/>
      <c r="K16" s="280"/>
      <c r="L16" s="280"/>
      <c r="M16" s="280"/>
      <c r="N16" s="280"/>
      <c r="O16" s="280"/>
    </row>
    <row r="17" spans="1:15" x14ac:dyDescent="0.35">
      <c r="A17" s="460" t="s">
        <v>498</v>
      </c>
      <c r="B17" s="460"/>
      <c r="C17" s="460"/>
      <c r="D17" s="460"/>
      <c r="E17" s="460"/>
      <c r="F17" s="460"/>
      <c r="G17" s="460"/>
      <c r="H17" s="460"/>
      <c r="I17" s="460"/>
      <c r="J17" s="460"/>
      <c r="K17" s="460"/>
      <c r="L17" s="460"/>
      <c r="M17" s="460"/>
      <c r="N17" s="460"/>
      <c r="O17" s="460"/>
    </row>
    <row r="18" spans="1:15" ht="29" x14ac:dyDescent="0.35">
      <c r="A18" s="286" t="s">
        <v>499</v>
      </c>
      <c r="B18" s="286" t="s">
        <v>500</v>
      </c>
      <c r="C18" s="286" t="s">
        <v>484</v>
      </c>
      <c r="D18" s="286" t="s">
        <v>501</v>
      </c>
      <c r="E18" s="287" t="s">
        <v>502</v>
      </c>
      <c r="F18" s="286" t="s">
        <v>503</v>
      </c>
      <c r="G18" s="286" t="s">
        <v>504</v>
      </c>
      <c r="H18" s="288"/>
      <c r="I18" s="454" t="s">
        <v>488</v>
      </c>
      <c r="J18" s="454"/>
      <c r="K18" s="454"/>
      <c r="L18" s="454"/>
      <c r="M18" s="454"/>
      <c r="N18" s="454"/>
      <c r="O18" s="454"/>
    </row>
    <row r="19" spans="1:15" ht="14.5" customHeight="1" x14ac:dyDescent="0.35">
      <c r="A19" s="289" t="s">
        <v>505</v>
      </c>
      <c r="B19" s="289">
        <v>41.2</v>
      </c>
      <c r="C19" s="290">
        <v>0.42</v>
      </c>
      <c r="D19" s="289">
        <f>B19*365*24*C19</f>
        <v>151583.04000000001</v>
      </c>
      <c r="E19" s="289">
        <v>261</v>
      </c>
      <c r="F19" s="289">
        <f>D19*E19/10^9</f>
        <v>3.9563173440000002E-2</v>
      </c>
      <c r="G19" s="350">
        <v>7.6200000000000004E-2</v>
      </c>
      <c r="H19" s="441"/>
      <c r="I19" s="441" t="s">
        <v>506</v>
      </c>
      <c r="J19" s="441"/>
      <c r="K19" s="441"/>
      <c r="L19" s="441"/>
      <c r="M19" s="441"/>
      <c r="N19" s="441"/>
      <c r="O19" s="441"/>
    </row>
    <row r="20" spans="1:15" x14ac:dyDescent="0.35">
      <c r="A20" s="289" t="s">
        <v>507</v>
      </c>
      <c r="B20" s="289">
        <v>25</v>
      </c>
      <c r="C20" s="290">
        <v>0.35</v>
      </c>
      <c r="D20" s="289">
        <f>B20*365*24*C20</f>
        <v>76650</v>
      </c>
      <c r="E20" s="289">
        <v>257</v>
      </c>
      <c r="F20" s="289">
        <f t="shared" ref="F20:F22" si="2">D20*E20/10^9</f>
        <v>1.9699049999999999E-2</v>
      </c>
      <c r="G20" s="350">
        <v>0.06</v>
      </c>
      <c r="H20" s="442"/>
      <c r="I20" s="447"/>
      <c r="J20" s="447"/>
      <c r="K20" s="447"/>
      <c r="L20" s="447"/>
      <c r="M20" s="447"/>
      <c r="N20" s="447"/>
      <c r="O20" s="447"/>
    </row>
    <row r="21" spans="1:15" x14ac:dyDescent="0.35">
      <c r="A21" s="289" t="s">
        <v>508</v>
      </c>
      <c r="B21" s="289">
        <v>0.5</v>
      </c>
      <c r="C21" s="290">
        <v>0.95</v>
      </c>
      <c r="D21" s="289">
        <f>B21*365*24*C21</f>
        <v>4161</v>
      </c>
      <c r="E21" s="289">
        <v>500</v>
      </c>
      <c r="F21" s="350">
        <f t="shared" si="2"/>
        <v>2.0804999999999999E-3</v>
      </c>
      <c r="G21" s="289">
        <v>0.2</v>
      </c>
      <c r="H21" s="442"/>
      <c r="I21" s="447"/>
      <c r="J21" s="447"/>
      <c r="K21" s="447"/>
      <c r="L21" s="447"/>
      <c r="M21" s="447"/>
      <c r="N21" s="447"/>
      <c r="O21" s="447"/>
    </row>
    <row r="22" spans="1:15" x14ac:dyDescent="0.35">
      <c r="A22" s="289" t="s">
        <v>377</v>
      </c>
      <c r="B22" s="289">
        <v>500</v>
      </c>
      <c r="C22" s="290">
        <v>0.25</v>
      </c>
      <c r="D22" s="289">
        <f>B22*365*24*C22</f>
        <v>1095000</v>
      </c>
      <c r="E22" s="289">
        <v>261</v>
      </c>
      <c r="F22" s="289">
        <f t="shared" si="2"/>
        <v>0.28579500000000002</v>
      </c>
      <c r="G22" s="350">
        <v>0.26</v>
      </c>
      <c r="H22" s="442"/>
      <c r="I22" s="447"/>
      <c r="J22" s="447"/>
      <c r="K22" s="447"/>
      <c r="L22" s="447"/>
      <c r="M22" s="447"/>
      <c r="N22" s="447"/>
      <c r="O22" s="447"/>
    </row>
    <row r="23" spans="1:15" x14ac:dyDescent="0.35">
      <c r="A23" s="291"/>
      <c r="B23" s="289"/>
      <c r="C23" s="289"/>
      <c r="D23" s="289"/>
      <c r="E23" s="289"/>
      <c r="F23" s="289"/>
      <c r="G23" s="289"/>
      <c r="H23" s="442"/>
      <c r="I23" s="448"/>
      <c r="J23" s="448"/>
      <c r="K23" s="448"/>
      <c r="L23" s="448"/>
      <c r="M23" s="448"/>
      <c r="N23" s="448"/>
      <c r="O23" s="448"/>
    </row>
    <row r="24" spans="1:15" ht="19.5" x14ac:dyDescent="0.35">
      <c r="A24" s="444" t="s">
        <v>348</v>
      </c>
      <c r="B24" s="444"/>
      <c r="C24" s="444"/>
      <c r="D24" s="444"/>
      <c r="E24" s="444"/>
      <c r="F24" s="444"/>
      <c r="G24" s="444"/>
      <c r="H24" s="444"/>
      <c r="I24" s="444"/>
      <c r="J24" s="444"/>
      <c r="K24" s="444"/>
      <c r="L24" s="444"/>
      <c r="M24" s="444"/>
      <c r="N24" s="444"/>
      <c r="O24" s="444"/>
    </row>
    <row r="25" spans="1:15" x14ac:dyDescent="0.35">
      <c r="A25" s="439" t="s">
        <v>509</v>
      </c>
      <c r="B25" s="439"/>
      <c r="C25" s="439"/>
      <c r="D25" s="439"/>
      <c r="E25" s="439"/>
      <c r="F25" s="439"/>
      <c r="G25" s="439"/>
      <c r="H25" s="439"/>
      <c r="I25" s="439"/>
      <c r="J25" s="439"/>
      <c r="K25" s="439"/>
      <c r="L25" s="439"/>
      <c r="M25" s="439"/>
      <c r="N25" s="439"/>
      <c r="O25" s="439"/>
    </row>
    <row r="26" spans="1:15" s="1" customFormat="1" ht="72.5" x14ac:dyDescent="0.35">
      <c r="A26" s="292" t="s">
        <v>510</v>
      </c>
      <c r="B26" s="292" t="s">
        <v>511</v>
      </c>
      <c r="C26" s="292" t="s">
        <v>512</v>
      </c>
      <c r="D26" s="292" t="s">
        <v>513</v>
      </c>
      <c r="E26" s="292" t="s">
        <v>514</v>
      </c>
      <c r="F26" s="292" t="s">
        <v>515</v>
      </c>
      <c r="G26" s="292" t="s">
        <v>516</v>
      </c>
      <c r="H26" s="292" t="s">
        <v>517</v>
      </c>
      <c r="I26" s="455" t="s">
        <v>488</v>
      </c>
      <c r="J26" s="455"/>
      <c r="K26" s="455"/>
      <c r="L26" s="455"/>
      <c r="M26" s="455"/>
      <c r="N26" s="455"/>
      <c r="O26" s="455"/>
    </row>
    <row r="27" spans="1:15" x14ac:dyDescent="0.35">
      <c r="A27" s="275"/>
      <c r="B27" s="275"/>
      <c r="C27" s="275"/>
      <c r="D27" s="275"/>
      <c r="E27" s="275"/>
      <c r="F27" s="275"/>
      <c r="G27" s="275"/>
      <c r="H27" s="275" t="s">
        <v>396</v>
      </c>
      <c r="I27" s="445" t="s">
        <v>518</v>
      </c>
      <c r="J27" s="445"/>
      <c r="K27" s="445"/>
      <c r="L27" s="445"/>
      <c r="M27" s="445"/>
      <c r="N27" s="445"/>
      <c r="O27" s="445"/>
    </row>
    <row r="28" spans="1:15" x14ac:dyDescent="0.35">
      <c r="A28" s="275" t="s">
        <v>519</v>
      </c>
      <c r="B28" s="275">
        <v>0.1</v>
      </c>
      <c r="C28" s="293">
        <v>0.2</v>
      </c>
      <c r="D28" s="275">
        <v>1.25</v>
      </c>
      <c r="E28" s="275">
        <v>370</v>
      </c>
      <c r="F28" s="275">
        <f>E28*F30/E30</f>
        <v>185</v>
      </c>
      <c r="G28" s="275">
        <f>E28*B28*10^6/10^9</f>
        <v>3.6999999999999998E-2</v>
      </c>
      <c r="H28" s="275">
        <f>F28*D28*10^6/10^9</f>
        <v>0.23125000000000001</v>
      </c>
      <c r="I28" s="443"/>
      <c r="J28" s="443"/>
      <c r="K28" s="443"/>
      <c r="L28" s="443"/>
      <c r="M28" s="443"/>
      <c r="N28" s="443"/>
      <c r="O28" s="443"/>
    </row>
    <row r="29" spans="1:15" x14ac:dyDescent="0.35">
      <c r="A29" s="275" t="s">
        <v>520</v>
      </c>
      <c r="B29" s="275">
        <v>0.5</v>
      </c>
      <c r="C29" s="293">
        <v>0.4</v>
      </c>
      <c r="D29" s="275">
        <v>2</v>
      </c>
      <c r="E29" s="275">
        <v>2500</v>
      </c>
      <c r="F29" s="275">
        <f>E29*F30/E30</f>
        <v>1250</v>
      </c>
      <c r="G29" s="275">
        <f>E29*B29*10^6/10^9</f>
        <v>1.25</v>
      </c>
      <c r="H29" s="275">
        <f>F29*D29*10^6/10^9</f>
        <v>2.5</v>
      </c>
      <c r="I29" s="443"/>
      <c r="J29" s="443"/>
      <c r="K29" s="443"/>
      <c r="L29" s="443"/>
      <c r="M29" s="443"/>
      <c r="N29" s="443"/>
      <c r="O29" s="443"/>
    </row>
    <row r="30" spans="1:15" x14ac:dyDescent="0.35">
      <c r="A30" s="275" t="s">
        <v>521</v>
      </c>
      <c r="B30" s="275">
        <v>0.25</v>
      </c>
      <c r="C30" s="293">
        <v>0.2</v>
      </c>
      <c r="D30" s="275">
        <v>1.25</v>
      </c>
      <c r="E30" s="275">
        <v>6400</v>
      </c>
      <c r="F30" s="275">
        <f>E30*(1-50%)</f>
        <v>3200</v>
      </c>
      <c r="G30" s="275">
        <f>E30*B30*10^6/10^9</f>
        <v>1.6</v>
      </c>
      <c r="H30" s="275">
        <f>F30*D30*10^6/10^9</f>
        <v>4</v>
      </c>
      <c r="I30" s="443"/>
      <c r="J30" s="443"/>
      <c r="K30" s="443"/>
      <c r="L30" s="443"/>
      <c r="M30" s="443"/>
      <c r="N30" s="443"/>
      <c r="O30" s="443"/>
    </row>
    <row r="31" spans="1:15" x14ac:dyDescent="0.35">
      <c r="A31" s="275" t="s">
        <v>277</v>
      </c>
      <c r="B31" s="275">
        <v>0.25</v>
      </c>
      <c r="C31" s="293">
        <v>0.2</v>
      </c>
      <c r="D31" s="275">
        <v>0.5</v>
      </c>
      <c r="E31" s="275">
        <v>750</v>
      </c>
      <c r="F31" s="275">
        <v>750</v>
      </c>
      <c r="G31" s="275">
        <f>E31*B31*10^6/10^9</f>
        <v>0.1875</v>
      </c>
      <c r="H31" s="275">
        <f>F31*D31*10^6/10^9</f>
        <v>0.375</v>
      </c>
      <c r="I31" s="443"/>
      <c r="J31" s="443"/>
      <c r="K31" s="443"/>
      <c r="L31" s="443"/>
      <c r="M31" s="443"/>
      <c r="N31" s="443"/>
      <c r="O31" s="443"/>
    </row>
    <row r="32" spans="1:15" x14ac:dyDescent="0.35">
      <c r="A32" s="275" t="s">
        <v>522</v>
      </c>
      <c r="B32" s="275"/>
      <c r="C32" s="275"/>
      <c r="D32" s="275"/>
      <c r="E32" s="275"/>
      <c r="F32" s="275"/>
      <c r="G32" s="275">
        <f>SUM(G28:G31)</f>
        <v>3.0745</v>
      </c>
      <c r="H32" s="275">
        <f>SUM(H28:H31)</f>
        <v>7.1062500000000002</v>
      </c>
      <c r="I32" s="443"/>
      <c r="J32" s="443"/>
      <c r="K32" s="443"/>
      <c r="L32" s="443"/>
      <c r="M32" s="443"/>
      <c r="N32" s="443"/>
      <c r="O32" s="443"/>
    </row>
    <row r="33" spans="1:15" x14ac:dyDescent="0.35">
      <c r="A33" s="275" t="s">
        <v>523</v>
      </c>
      <c r="B33" s="275"/>
      <c r="C33" s="275"/>
      <c r="D33" s="275"/>
      <c r="E33" s="275"/>
      <c r="F33" s="275"/>
      <c r="G33" s="275">
        <f>(H32/G32)^(1/6)-1</f>
        <v>0.14985831681735129</v>
      </c>
      <c r="H33" s="275"/>
      <c r="I33" s="443"/>
      <c r="J33" s="443"/>
      <c r="K33" s="443"/>
      <c r="L33" s="443"/>
      <c r="M33" s="443"/>
      <c r="N33" s="443"/>
      <c r="O33" s="443"/>
    </row>
    <row r="34" spans="1:15" ht="29" x14ac:dyDescent="0.35">
      <c r="A34" s="274" t="s">
        <v>524</v>
      </c>
      <c r="B34" s="275"/>
      <c r="C34" s="275"/>
      <c r="D34" s="275"/>
      <c r="E34" s="275"/>
      <c r="F34" s="275"/>
      <c r="G34" s="275">
        <f>9.3*(1+52.3%)</f>
        <v>14.163900000000002</v>
      </c>
      <c r="H34" s="276">
        <f>G34*(1+50.2%)^6</f>
        <v>162.63066876578358</v>
      </c>
      <c r="I34" s="443"/>
      <c r="J34" s="443"/>
      <c r="K34" s="443"/>
      <c r="L34" s="443"/>
      <c r="M34" s="443"/>
      <c r="N34" s="443"/>
      <c r="O34" s="443"/>
    </row>
    <row r="35" spans="1:15" ht="43.5" x14ac:dyDescent="0.35">
      <c r="A35" s="274" t="s">
        <v>525</v>
      </c>
      <c r="B35" s="275"/>
      <c r="C35" s="275"/>
      <c r="D35" s="275"/>
      <c r="E35" s="275"/>
      <c r="F35" s="275"/>
      <c r="G35" s="275"/>
      <c r="H35" s="276">
        <f>G34*(1+G33)^6</f>
        <v>32.737750650512289</v>
      </c>
      <c r="I35" s="336"/>
      <c r="J35" s="336"/>
      <c r="K35" s="336"/>
      <c r="L35" s="336"/>
      <c r="M35" s="336"/>
      <c r="N35" s="336"/>
      <c r="O35" s="336"/>
    </row>
    <row r="36" spans="1:15" ht="19.5" x14ac:dyDescent="0.35">
      <c r="A36" s="456" t="s">
        <v>526</v>
      </c>
      <c r="B36" s="456"/>
      <c r="C36" s="456"/>
      <c r="D36" s="456"/>
      <c r="E36" s="456"/>
      <c r="F36" s="456"/>
      <c r="G36" s="456"/>
      <c r="H36" s="456"/>
      <c r="I36" s="456"/>
      <c r="J36" s="456"/>
      <c r="K36" s="456"/>
      <c r="L36" s="456"/>
      <c r="M36" s="456"/>
      <c r="N36" s="456"/>
      <c r="O36" s="456"/>
    </row>
    <row r="37" spans="1:15" x14ac:dyDescent="0.35">
      <c r="A37" s="439" t="s">
        <v>148</v>
      </c>
      <c r="B37" s="439"/>
      <c r="C37" s="439"/>
      <c r="D37" s="439"/>
      <c r="E37" s="439"/>
      <c r="F37" s="439"/>
      <c r="G37" s="439"/>
      <c r="H37" s="439"/>
      <c r="I37" s="439"/>
      <c r="J37" s="439"/>
      <c r="K37" s="439"/>
      <c r="L37" s="439"/>
      <c r="M37" s="439"/>
      <c r="N37" s="439"/>
      <c r="O37" s="439"/>
    </row>
    <row r="38" spans="1:15" s="1" customFormat="1" ht="58" x14ac:dyDescent="0.35">
      <c r="A38" s="278" t="s">
        <v>527</v>
      </c>
      <c r="B38" s="278" t="s">
        <v>528</v>
      </c>
      <c r="C38" s="278" t="s">
        <v>529</v>
      </c>
      <c r="D38" s="278" t="s">
        <v>399</v>
      </c>
      <c r="E38" s="278" t="s">
        <v>530</v>
      </c>
      <c r="F38" s="278"/>
      <c r="G38" s="278"/>
      <c r="H38" s="278"/>
      <c r="I38" s="455" t="s">
        <v>488</v>
      </c>
      <c r="J38" s="455"/>
      <c r="K38" s="455"/>
      <c r="L38" s="455"/>
      <c r="M38" s="455"/>
      <c r="N38" s="455"/>
      <c r="O38" s="455"/>
    </row>
    <row r="39" spans="1:15" ht="57" customHeight="1" x14ac:dyDescent="0.35">
      <c r="A39" s="277">
        <v>0.06</v>
      </c>
      <c r="B39" s="271">
        <v>204</v>
      </c>
      <c r="C39" s="271">
        <f>B39*A39</f>
        <v>12.24</v>
      </c>
      <c r="D39" s="271">
        <v>2020</v>
      </c>
      <c r="E39" s="271">
        <v>5.45</v>
      </c>
      <c r="F39" s="271"/>
      <c r="G39" s="271"/>
      <c r="H39" s="271"/>
      <c r="I39" s="457" t="s">
        <v>531</v>
      </c>
      <c r="J39" s="457"/>
      <c r="K39" s="457"/>
      <c r="L39" s="457"/>
      <c r="M39" s="457"/>
      <c r="N39" s="457"/>
      <c r="O39" s="457"/>
    </row>
    <row r="40" spans="1:15" x14ac:dyDescent="0.35">
      <c r="A40" s="460" t="s">
        <v>532</v>
      </c>
      <c r="B40" s="460"/>
      <c r="C40" s="460"/>
      <c r="D40" s="460"/>
      <c r="E40" s="460"/>
      <c r="F40" s="460"/>
      <c r="G40" s="460"/>
      <c r="H40" s="460"/>
      <c r="I40" s="460"/>
      <c r="J40" s="460"/>
      <c r="K40" s="460"/>
      <c r="L40" s="460"/>
      <c r="M40" s="460"/>
      <c r="N40" s="460"/>
      <c r="O40" s="460"/>
    </row>
    <row r="41" spans="1:15" s="1" customFormat="1" ht="72.5" x14ac:dyDescent="0.35">
      <c r="A41" s="287" t="s">
        <v>533</v>
      </c>
      <c r="B41" s="287" t="s">
        <v>534</v>
      </c>
      <c r="C41" s="287" t="s">
        <v>535</v>
      </c>
      <c r="D41" s="287" t="s">
        <v>399</v>
      </c>
      <c r="E41" s="287" t="s">
        <v>536</v>
      </c>
      <c r="F41" s="287" t="s">
        <v>537</v>
      </c>
      <c r="G41" s="287"/>
      <c r="H41" s="287"/>
      <c r="I41" s="452" t="s">
        <v>488</v>
      </c>
      <c r="J41" s="452"/>
      <c r="K41" s="452"/>
      <c r="L41" s="452"/>
      <c r="M41" s="452"/>
      <c r="N41" s="452"/>
      <c r="O41" s="452"/>
    </row>
    <row r="42" spans="1:15" ht="115.5" customHeight="1" x14ac:dyDescent="0.35">
      <c r="A42" s="289">
        <v>276.5</v>
      </c>
      <c r="B42" s="290">
        <v>0.19</v>
      </c>
      <c r="C42" s="289">
        <f>B42*A42</f>
        <v>52.535000000000004</v>
      </c>
      <c r="D42" s="289">
        <v>2020</v>
      </c>
      <c r="E42" s="289">
        <v>16.844999999999999</v>
      </c>
      <c r="F42" s="294">
        <v>3.7999999999999999E-2</v>
      </c>
      <c r="G42" s="289"/>
      <c r="H42" s="289"/>
      <c r="I42" s="453" t="s">
        <v>538</v>
      </c>
      <c r="J42" s="449"/>
      <c r="K42" s="449"/>
      <c r="L42" s="449"/>
      <c r="M42" s="449"/>
      <c r="N42" s="449"/>
      <c r="O42" s="449"/>
    </row>
    <row r="43" spans="1:15" x14ac:dyDescent="0.35">
      <c r="A43" s="442" t="s">
        <v>539</v>
      </c>
      <c r="B43" s="442"/>
      <c r="C43" s="442"/>
      <c r="D43" s="442"/>
      <c r="E43" s="442"/>
      <c r="F43" s="442"/>
      <c r="G43" s="442"/>
      <c r="H43" s="289"/>
      <c r="I43" s="289"/>
      <c r="J43" s="289"/>
      <c r="K43" s="289"/>
      <c r="L43" s="289"/>
      <c r="M43" s="289"/>
      <c r="N43" s="289"/>
      <c r="O43" s="289"/>
    </row>
    <row r="44" spans="1:15" ht="19.5" x14ac:dyDescent="0.35">
      <c r="A44" s="437" t="s">
        <v>354</v>
      </c>
      <c r="B44" s="437"/>
      <c r="C44" s="437"/>
      <c r="D44" s="437"/>
      <c r="E44" s="437"/>
      <c r="F44" s="437"/>
      <c r="G44" s="437"/>
      <c r="H44" s="437"/>
      <c r="I44" s="437"/>
      <c r="J44" s="437"/>
      <c r="K44" s="437"/>
      <c r="L44" s="437"/>
      <c r="M44" s="437"/>
      <c r="N44" s="437"/>
      <c r="O44" s="437"/>
    </row>
    <row r="45" spans="1:15" x14ac:dyDescent="0.35">
      <c r="A45" s="439" t="s">
        <v>223</v>
      </c>
      <c r="B45" s="439"/>
      <c r="C45" s="439"/>
      <c r="D45" s="439"/>
      <c r="E45" s="439"/>
      <c r="F45" s="439"/>
      <c r="G45" s="439"/>
      <c r="H45" s="439"/>
      <c r="I45" s="439"/>
      <c r="J45" s="439"/>
      <c r="K45" s="439"/>
      <c r="L45" s="439"/>
      <c r="M45" s="439"/>
      <c r="N45" s="439"/>
      <c r="O45" s="439"/>
    </row>
    <row r="46" spans="1:15" ht="39" customHeight="1" x14ac:dyDescent="0.35">
      <c r="A46" s="281"/>
      <c r="B46" s="281" t="s">
        <v>537</v>
      </c>
      <c r="C46" s="295" t="s">
        <v>540</v>
      </c>
      <c r="D46" s="295" t="s">
        <v>541</v>
      </c>
      <c r="E46" s="296"/>
      <c r="F46" s="296"/>
      <c r="G46" s="296"/>
      <c r="H46" s="296"/>
      <c r="I46" s="297" t="s">
        <v>488</v>
      </c>
      <c r="J46" s="296"/>
      <c r="K46" s="296"/>
      <c r="L46" s="296"/>
      <c r="M46" s="296"/>
      <c r="N46" s="296"/>
      <c r="O46" s="296"/>
    </row>
    <row r="47" spans="1:15" ht="24.65" customHeight="1" x14ac:dyDescent="0.35">
      <c r="A47" s="298"/>
      <c r="B47" s="299">
        <v>0.12</v>
      </c>
      <c r="C47" s="300">
        <f>D47/(1+B47)^7</f>
        <v>0.33021492719593221</v>
      </c>
      <c r="D47" s="301">
        <v>0.73</v>
      </c>
      <c r="E47" s="302"/>
      <c r="F47" s="302"/>
      <c r="G47" s="302"/>
      <c r="H47" s="302"/>
      <c r="I47" s="302"/>
      <c r="J47" s="302"/>
      <c r="K47" s="302"/>
      <c r="L47" s="302"/>
      <c r="M47" s="302"/>
      <c r="N47" s="302"/>
      <c r="O47" s="302"/>
    </row>
    <row r="48" spans="1:15" x14ac:dyDescent="0.35">
      <c r="A48" s="439" t="s">
        <v>262</v>
      </c>
      <c r="B48" s="439"/>
      <c r="C48" s="439"/>
      <c r="D48" s="439"/>
      <c r="E48" s="439"/>
      <c r="F48" s="439"/>
      <c r="G48" s="439"/>
      <c r="H48" s="439"/>
      <c r="I48" s="439"/>
      <c r="J48" s="439"/>
      <c r="K48" s="439"/>
      <c r="L48" s="439"/>
      <c r="M48" s="439"/>
      <c r="N48" s="439"/>
      <c r="O48" s="439"/>
    </row>
    <row r="49" spans="1:22" ht="49.5" customHeight="1" x14ac:dyDescent="0.35">
      <c r="A49" s="303"/>
      <c r="B49" s="282" t="s">
        <v>537</v>
      </c>
      <c r="C49" s="283" t="s">
        <v>540</v>
      </c>
      <c r="D49" s="283" t="s">
        <v>541</v>
      </c>
      <c r="E49" s="282"/>
      <c r="F49" s="282"/>
      <c r="G49" s="282"/>
      <c r="H49" s="282"/>
      <c r="I49" s="304" t="s">
        <v>488</v>
      </c>
      <c r="J49" s="282"/>
      <c r="K49" s="282"/>
      <c r="L49" s="282"/>
      <c r="M49" s="282"/>
      <c r="N49" s="282"/>
      <c r="O49" s="282"/>
    </row>
    <row r="50" spans="1:22" x14ac:dyDescent="0.35">
      <c r="A50" s="280" t="s">
        <v>542</v>
      </c>
      <c r="B50" s="305">
        <v>3.5999999999999997E-2</v>
      </c>
      <c r="C50" s="285">
        <f>D50/(1+B50)^7</f>
        <v>0.85876512133706739</v>
      </c>
      <c r="D50" s="285">
        <v>1.1000000000000001</v>
      </c>
      <c r="E50" s="280"/>
      <c r="F50" s="280"/>
      <c r="G50" s="280"/>
      <c r="H50" s="280"/>
      <c r="I50" s="280"/>
      <c r="J50" s="280"/>
      <c r="K50" s="280"/>
      <c r="L50" s="280"/>
      <c r="M50" s="280"/>
      <c r="N50" s="280"/>
      <c r="O50" s="280"/>
    </row>
    <row r="51" spans="1:22" x14ac:dyDescent="0.35">
      <c r="A51" s="280" t="s">
        <v>543</v>
      </c>
      <c r="B51" s="284">
        <v>0.56999999999999995</v>
      </c>
      <c r="C51" s="280">
        <v>4.7E-2</v>
      </c>
      <c r="D51" s="285">
        <v>0.30599999999999999</v>
      </c>
      <c r="E51" s="280"/>
      <c r="F51" s="280"/>
      <c r="G51" s="280"/>
      <c r="H51" s="280"/>
      <c r="I51" s="280"/>
      <c r="J51" s="280"/>
      <c r="K51" s="280"/>
      <c r="L51" s="280"/>
      <c r="M51" s="280"/>
      <c r="N51" s="280"/>
      <c r="O51" s="280"/>
    </row>
    <row r="52" spans="1:22" ht="30" customHeight="1" x14ac:dyDescent="0.35">
      <c r="A52" s="280" t="s">
        <v>544</v>
      </c>
      <c r="B52" s="284">
        <v>0.03</v>
      </c>
      <c r="C52" s="280">
        <f>90%*15.5</f>
        <v>13.950000000000001</v>
      </c>
      <c r="D52" s="285">
        <f>C52*(1+B52)^9</f>
        <v>18.201585914417961</v>
      </c>
      <c r="E52" s="280"/>
      <c r="F52" s="280"/>
      <c r="G52" s="280"/>
      <c r="H52" s="280"/>
      <c r="I52" s="438" t="s">
        <v>545</v>
      </c>
      <c r="J52" s="438"/>
      <c r="K52" s="438"/>
      <c r="L52" s="438"/>
      <c r="M52" s="438"/>
      <c r="N52" s="438"/>
      <c r="O52" s="438"/>
    </row>
    <row r="53" spans="1:22" x14ac:dyDescent="0.35">
      <c r="A53" s="280" t="s">
        <v>546</v>
      </c>
      <c r="B53" s="305">
        <f>(D53/C53)^(1/7)-1</f>
        <v>4.0443360627631542E-2</v>
      </c>
      <c r="C53" s="285">
        <f>SUM(C50:C52)</f>
        <v>14.855765121337068</v>
      </c>
      <c r="D53" s="285">
        <f>SUM(D50:D52)</f>
        <v>19.60758591441796</v>
      </c>
      <c r="E53" s="280"/>
      <c r="F53" s="280"/>
      <c r="G53" s="280"/>
      <c r="H53" s="280"/>
      <c r="I53" s="280"/>
      <c r="J53" s="280"/>
      <c r="K53" s="280"/>
      <c r="L53" s="280"/>
      <c r="M53" s="280"/>
      <c r="N53" s="280"/>
      <c r="O53" s="280"/>
    </row>
    <row r="54" spans="1:22" ht="15" thickBot="1" x14ac:dyDescent="0.4">
      <c r="A54" s="306" t="s">
        <v>547</v>
      </c>
      <c r="B54" s="307">
        <v>0.36</v>
      </c>
      <c r="C54" s="308">
        <f>D54/(1+B54)^7</f>
        <v>5.2060178806251613E-2</v>
      </c>
      <c r="D54" s="309">
        <v>0.44800000000000001</v>
      </c>
      <c r="E54" s="306"/>
      <c r="F54" s="306"/>
      <c r="G54" s="306"/>
      <c r="H54" s="306"/>
      <c r="I54" s="306"/>
      <c r="J54" s="306"/>
      <c r="K54" s="306"/>
      <c r="L54" s="306"/>
      <c r="M54" s="306"/>
      <c r="N54" s="306"/>
      <c r="O54" s="306"/>
    </row>
    <row r="55" spans="1:22" ht="19.5" x14ac:dyDescent="0.35">
      <c r="A55" s="437" t="s">
        <v>351</v>
      </c>
      <c r="B55" s="437"/>
      <c r="C55" s="437"/>
      <c r="D55" s="437"/>
      <c r="E55" s="437"/>
      <c r="F55" s="437"/>
      <c r="G55" s="437"/>
      <c r="H55" s="437"/>
      <c r="I55" s="437"/>
      <c r="J55" s="437"/>
      <c r="K55" s="437"/>
      <c r="L55" s="437"/>
      <c r="M55" s="437"/>
      <c r="N55" s="437"/>
      <c r="O55" s="437"/>
    </row>
    <row r="56" spans="1:22" x14ac:dyDescent="0.35">
      <c r="A56" s="280" t="s">
        <v>277</v>
      </c>
      <c r="B56" s="280"/>
      <c r="C56" s="280"/>
      <c r="D56" s="280"/>
      <c r="E56" s="280"/>
      <c r="F56" s="280"/>
      <c r="G56" s="280"/>
      <c r="H56" s="280"/>
      <c r="I56" s="280"/>
      <c r="J56" s="280"/>
      <c r="K56" s="280"/>
      <c r="L56" s="280"/>
      <c r="M56" s="280"/>
      <c r="N56" s="280"/>
      <c r="O56" s="280"/>
    </row>
    <row r="57" spans="1:22" x14ac:dyDescent="0.35">
      <c r="A57" s="280" t="s">
        <v>548</v>
      </c>
      <c r="B57" s="285">
        <v>235</v>
      </c>
      <c r="C57" s="280"/>
      <c r="D57" s="280"/>
      <c r="E57" s="280"/>
      <c r="F57" s="280"/>
      <c r="G57" s="280"/>
      <c r="H57" s="280"/>
      <c r="I57" s="280"/>
      <c r="J57" s="280"/>
      <c r="K57" s="280"/>
      <c r="L57" s="280"/>
      <c r="M57" s="280"/>
      <c r="N57" s="280"/>
      <c r="O57" s="280"/>
    </row>
    <row r="58" spans="1:22" x14ac:dyDescent="0.35">
      <c r="A58" s="280" t="s">
        <v>549</v>
      </c>
      <c r="B58" s="285">
        <v>19.399999999999999</v>
      </c>
      <c r="C58" s="280"/>
      <c r="D58" s="280"/>
      <c r="E58" s="280"/>
      <c r="F58" s="280"/>
      <c r="G58" s="280"/>
      <c r="H58" s="280"/>
      <c r="I58" s="280"/>
      <c r="J58" s="280"/>
      <c r="K58" s="280"/>
      <c r="L58" s="280"/>
      <c r="M58" s="280"/>
      <c r="N58" s="280"/>
      <c r="O58" s="280"/>
    </row>
    <row r="59" spans="1:22" x14ac:dyDescent="0.35">
      <c r="A59" s="280" t="s">
        <v>550</v>
      </c>
      <c r="B59" s="285">
        <v>16</v>
      </c>
      <c r="C59" s="280"/>
      <c r="D59" s="280"/>
      <c r="E59" s="280"/>
      <c r="F59" s="280"/>
      <c r="G59" s="280"/>
      <c r="H59" s="280"/>
      <c r="I59" s="280"/>
      <c r="J59" s="280"/>
      <c r="K59" s="280"/>
      <c r="L59" s="280"/>
      <c r="M59" s="280"/>
      <c r="N59" s="280"/>
      <c r="O59" s="280"/>
    </row>
    <row r="60" spans="1:22" x14ac:dyDescent="0.35">
      <c r="A60" s="280" t="s">
        <v>551</v>
      </c>
      <c r="B60" s="285">
        <f>(B58/B57)*B59</f>
        <v>1.3208510638297872</v>
      </c>
      <c r="C60" s="280"/>
      <c r="D60" s="280"/>
      <c r="E60" s="280"/>
      <c r="F60" s="280"/>
      <c r="G60" s="280"/>
      <c r="H60" s="280"/>
      <c r="I60" s="280"/>
      <c r="J60" s="280"/>
      <c r="K60" s="280"/>
      <c r="L60" s="280"/>
      <c r="M60" s="280"/>
      <c r="N60" s="280"/>
      <c r="O60" s="280"/>
    </row>
    <row r="61" spans="1:22" x14ac:dyDescent="0.35">
      <c r="A61" s="280" t="s">
        <v>552</v>
      </c>
      <c r="B61" s="285">
        <v>0.16</v>
      </c>
      <c r="C61" s="280"/>
      <c r="D61" s="280"/>
      <c r="E61" s="280"/>
      <c r="F61" s="280"/>
      <c r="G61" s="280"/>
      <c r="H61" s="280"/>
      <c r="I61" s="284"/>
      <c r="J61" s="280"/>
      <c r="K61" s="285"/>
      <c r="L61" s="280"/>
      <c r="M61" s="280"/>
      <c r="N61" s="280"/>
      <c r="O61" s="280"/>
      <c r="P61" s="438"/>
      <c r="Q61" s="438"/>
      <c r="R61" s="438"/>
      <c r="S61" s="438"/>
      <c r="T61" s="438"/>
      <c r="U61" s="438"/>
      <c r="V61" s="438"/>
    </row>
    <row r="62" spans="1:22" x14ac:dyDescent="0.35">
      <c r="A62" s="280" t="s">
        <v>553</v>
      </c>
      <c r="B62" s="285">
        <f>B60/B61</f>
        <v>8.2553191489361701</v>
      </c>
      <c r="C62" s="280"/>
      <c r="D62" s="280"/>
      <c r="E62" s="280"/>
      <c r="F62" s="280"/>
      <c r="G62" s="280"/>
      <c r="H62" s="280"/>
      <c r="I62" s="280"/>
      <c r="J62" s="280"/>
      <c r="K62" s="280"/>
      <c r="L62" s="280"/>
      <c r="M62" s="280"/>
      <c r="N62" s="280"/>
      <c r="O62" s="280"/>
    </row>
    <row r="63" spans="1:22" x14ac:dyDescent="0.35">
      <c r="A63" s="280" t="s">
        <v>554</v>
      </c>
      <c r="B63" s="285">
        <f>B62/307.86</f>
        <v>2.681517296477675E-2</v>
      </c>
      <c r="C63" s="280"/>
      <c r="D63" s="280"/>
      <c r="E63" s="280"/>
      <c r="F63" s="280"/>
      <c r="G63" s="280"/>
      <c r="H63" s="280"/>
      <c r="I63" s="280"/>
      <c r="J63" s="280"/>
      <c r="K63" s="280"/>
      <c r="L63" s="280"/>
      <c r="M63" s="280"/>
      <c r="N63" s="280"/>
      <c r="O63" s="280"/>
    </row>
    <row r="64" spans="1:22" x14ac:dyDescent="0.35">
      <c r="A64" s="280" t="s">
        <v>555</v>
      </c>
      <c r="B64" s="285">
        <v>750</v>
      </c>
      <c r="C64" s="280"/>
      <c r="D64" s="280"/>
      <c r="E64" s="280"/>
      <c r="F64" s="280"/>
      <c r="G64" s="280"/>
      <c r="H64" s="280"/>
      <c r="I64" s="280"/>
      <c r="J64" s="280"/>
      <c r="K64" s="280"/>
      <c r="L64" s="280"/>
      <c r="M64" s="280"/>
      <c r="N64" s="280"/>
      <c r="O64" s="280"/>
    </row>
    <row r="65" spans="1:15" x14ac:dyDescent="0.35">
      <c r="A65" s="280" t="s">
        <v>556</v>
      </c>
      <c r="B65" s="285">
        <f>B63*B64</f>
        <v>20.111379723582562</v>
      </c>
      <c r="C65" s="280"/>
      <c r="D65" s="280"/>
      <c r="E65" s="280"/>
      <c r="F65" s="280"/>
      <c r="G65" s="280"/>
      <c r="H65" s="280"/>
      <c r="I65" s="280"/>
      <c r="J65" s="280"/>
      <c r="K65" s="280"/>
      <c r="L65" s="280"/>
      <c r="M65" s="280"/>
      <c r="N65" s="280"/>
      <c r="O65" s="280"/>
    </row>
  </sheetData>
  <mergeCells count="35">
    <mergeCell ref="A14:E14"/>
    <mergeCell ref="G9:G14"/>
    <mergeCell ref="A7:O7"/>
    <mergeCell ref="A1:O1"/>
    <mergeCell ref="A40:O40"/>
    <mergeCell ref="A16:G16"/>
    <mergeCell ref="I8:O8"/>
    <mergeCell ref="A17:O17"/>
    <mergeCell ref="I41:O41"/>
    <mergeCell ref="I42:O42"/>
    <mergeCell ref="A43:G43"/>
    <mergeCell ref="I18:O18"/>
    <mergeCell ref="I26:O26"/>
    <mergeCell ref="I27:O34"/>
    <mergeCell ref="A36:O36"/>
    <mergeCell ref="A37:O37"/>
    <mergeCell ref="I39:O39"/>
    <mergeCell ref="I38:O38"/>
    <mergeCell ref="A25:O25"/>
    <mergeCell ref="A55:O55"/>
    <mergeCell ref="P61:V61"/>
    <mergeCell ref="A48:O48"/>
    <mergeCell ref="I52:O52"/>
    <mergeCell ref="A2:O2"/>
    <mergeCell ref="A44:O44"/>
    <mergeCell ref="A45:O45"/>
    <mergeCell ref="H19:H23"/>
    <mergeCell ref="H9:H14"/>
    <mergeCell ref="A24:O24"/>
    <mergeCell ref="I15:O15"/>
    <mergeCell ref="I9:O14"/>
    <mergeCell ref="I19:O23"/>
    <mergeCell ref="A3:O3"/>
    <mergeCell ref="A6:O6"/>
    <mergeCell ref="A5:O5"/>
  </mergeCells>
  <hyperlinks>
    <hyperlink ref="I15" r:id="rId1" xr:uid="{0A32552D-5130-4DA1-848B-8EA363EF9D7B}"/>
    <hyperlink ref="I9" r:id="rId2" display="https://www.rechargenews.com/wind/chinas-offshore-wind-boom-drives-costs-down-to-match-coal/2-1-1465110" xr:uid="{C82BA6E7-7C01-497E-A65B-7B96092E79F8}"/>
    <hyperlink ref="I19" r:id="rId3" location=":~:text=The%20auction%20also%20resulted%20in,being%20situated%20in%20UK%20waters%E2%80%9D " xr:uid="{0F99759D-3AD6-4923-99F6-A56E4332978A}"/>
    <hyperlink ref="I27" r:id="rId4" display="https://www.spglobal.com/commodity-insights/en/news-research/latest-news/shipping/092823-alternative-marine-fuels-monthly-market-indicators" xr:uid="{9085C8A4-3EBE-4FF9-AB67-3803251AB5F7}"/>
    <hyperlink ref="I42" r:id="rId5" display="https://usesilo.com/blog/how-much-is-the-fishing-industry-worth-in-2024; " xr:uid="{4F977972-37AB-4524-B979-D6111C6EC3FC}"/>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Version xmlns="e6bd19b9-1d44-4e52-b2b3-7756f1b7957b" xsi:nil="true"/>
    <TaxCatchAll xmlns="e63fe520-01c0-4280-9a3e-dc8be5b8b8af" xsi:nil="true"/>
    <MigrationWizId xmlns="e6bd19b9-1d44-4e52-b2b3-7756f1b7957b" xsi:nil="true"/>
    <MigrationWizIdPermissions xmlns="e6bd19b9-1d44-4e52-b2b3-7756f1b7957b" xsi:nil="true"/>
    <lcf76f155ced4ddcb4097134ff3c332f xmlns="e6bd19b9-1d44-4e52-b2b3-7756f1b7957b">
      <Terms xmlns="http://schemas.microsoft.com/office/infopath/2007/PartnerControls"/>
    </lcf76f155ced4ddcb4097134ff3c332f>
    <SharedWithUsers xmlns="e63fe520-01c0-4280-9a3e-dc8be5b8b8af">
      <UserInfo>
        <DisplayName>Brad Ack</DisplayName>
        <AccountId>18</AccountId>
        <AccountType/>
      </UserInfo>
      <UserInfo>
        <DisplayName>Jessica Keith</DisplayName>
        <AccountId>15</AccountId>
        <AccountType/>
      </UserInfo>
      <UserInfo>
        <DisplayName>Lauren Mahle</DisplayName>
        <AccountId>3139</AccountId>
        <AccountType/>
      </UserInfo>
      <UserInfo>
        <DisplayName>Nikhil Neelakantan</DisplayName>
        <AccountId>16</AccountId>
        <AccountType/>
      </UserInfo>
      <UserInfo>
        <DisplayName>David Koweek</DisplayName>
        <AccountId>13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04687C780576447A20BEDA2BA7693A6" ma:contentTypeVersion="18" ma:contentTypeDescription="Create a new document." ma:contentTypeScope="" ma:versionID="1cdce6c72cfd2a71d610daf167d46705">
  <xsd:schema xmlns:xsd="http://www.w3.org/2001/XMLSchema" xmlns:xs="http://www.w3.org/2001/XMLSchema" xmlns:p="http://schemas.microsoft.com/office/2006/metadata/properties" xmlns:ns2="e6bd19b9-1d44-4e52-b2b3-7756f1b7957b" xmlns:ns3="e63fe520-01c0-4280-9a3e-dc8be5b8b8af" targetNamespace="http://schemas.microsoft.com/office/2006/metadata/properties" ma:root="true" ma:fieldsID="9365fd4785f7f34cb12338f32c871f90" ns2:_="" ns3:_="">
    <xsd:import namespace="e6bd19b9-1d44-4e52-b2b3-7756f1b7957b"/>
    <xsd:import namespace="e63fe520-01c0-4280-9a3e-dc8be5b8b8af"/>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igrationWizId" minOccurs="0"/>
                <xsd:element ref="ns2:MigrationWizIdPermissions" minOccurs="0"/>
                <xsd:element ref="ns2:MigrationWizIdVers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bd19b9-1d44-4e52-b2b3-7756f1b795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3a8857c-2cf5-46ed-a1a4-9b834fe1bf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igrationWizId" ma:index="21" nillable="true" ma:displayName="MigrationWizId" ma:internalName="MigrationWizId">
      <xsd:simpleType>
        <xsd:restriction base="dms:Text"/>
      </xsd:simpleType>
    </xsd:element>
    <xsd:element name="MigrationWizIdPermissions" ma:index="22" nillable="true" ma:displayName="MigrationWizIdPermissions" ma:internalName="MigrationWizIdPermissions">
      <xsd:simpleType>
        <xsd:restriction base="dms:Text"/>
      </xsd:simpleType>
    </xsd:element>
    <xsd:element name="MigrationWizIdVersion" ma:index="23" nillable="true" ma:displayName="MigrationWizIdVersion" ma:internalName="MigrationWizIdVersion">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3fe520-01c0-4280-9a3e-dc8be5b8b8a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006b11f-5bd1-4b02-8bd6-78e3523a96a3}" ma:internalName="TaxCatchAll" ma:showField="CatchAllData" ma:web="e63fe520-01c0-4280-9a3e-dc8be5b8b8a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831D19-F0BE-456C-94F2-03EF54178FD3}">
  <ds:schemaRefs>
    <ds:schemaRef ds:uri="http://schemas.microsoft.com/office/2006/documentManagement/types"/>
    <ds:schemaRef ds:uri="http://schemas.microsoft.com/office/infopath/2007/PartnerControls"/>
    <ds:schemaRef ds:uri="http://schemas.microsoft.com/office/2006/metadata/properties"/>
    <ds:schemaRef ds:uri="http://purl.org/dc/dcmitype/"/>
    <ds:schemaRef ds:uri="http://www.w3.org/XML/1998/namespace"/>
    <ds:schemaRef ds:uri="e6bd19b9-1d44-4e52-b2b3-7756f1b7957b"/>
    <ds:schemaRef ds:uri="http://purl.org/dc/elements/1.1/"/>
    <ds:schemaRef ds:uri="http://purl.org/dc/terms/"/>
    <ds:schemaRef ds:uri="http://schemas.openxmlformats.org/package/2006/metadata/core-properties"/>
    <ds:schemaRef ds:uri="e63fe520-01c0-4280-9a3e-dc8be5b8b8af"/>
  </ds:schemaRefs>
</ds:datastoreItem>
</file>

<file path=customXml/itemProps2.xml><?xml version="1.0" encoding="utf-8"?>
<ds:datastoreItem xmlns:ds="http://schemas.openxmlformats.org/officeDocument/2006/customXml" ds:itemID="{92D8769C-77DB-4CEE-8A7B-5D39A4FF433E}">
  <ds:schemaRefs>
    <ds:schemaRef ds:uri="http://schemas.microsoft.com/sharepoint/v3/contenttype/forms"/>
  </ds:schemaRefs>
</ds:datastoreItem>
</file>

<file path=customXml/itemProps3.xml><?xml version="1.0" encoding="utf-8"?>
<ds:datastoreItem xmlns:ds="http://schemas.openxmlformats.org/officeDocument/2006/customXml" ds:itemID="{73ED38B3-4A23-4582-BC38-AA86D1E3E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bd19b9-1d44-4e52-b2b3-7756f1b7957b"/>
    <ds:schemaRef ds:uri="e63fe520-01c0-4280-9a3e-dc8be5b8b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READ ME FIRST</vt:lpstr>
      <vt:lpstr>Overview</vt:lpstr>
      <vt:lpstr>Summary_Marine Renewable Energy</vt:lpstr>
      <vt:lpstr>Summary_Sustainable Food</vt:lpstr>
      <vt:lpstr>Summary_Maritime Transportation</vt:lpstr>
      <vt:lpstr>Summary_Ecosystem Protection</vt:lpstr>
      <vt:lpstr>Summary_Macroalgae Products</vt:lpstr>
      <vt:lpstr>Summary_Microalgae Products</vt:lpstr>
      <vt:lpstr>Market_Size_Calc</vt:lpstr>
      <vt:lpstr>CO2_Potential_MRE</vt:lpstr>
      <vt:lpstr>CO2_Potential_SF</vt:lpstr>
      <vt:lpstr>CO2_Potential_MT</vt:lpstr>
      <vt:lpstr>CO2_Potential_EP</vt:lpstr>
      <vt:lpstr>CO2_Potential_MA</vt:lpstr>
      <vt:lpstr>CO2_Potential_MI</vt:lpstr>
      <vt:lpstr>OTEC Potential _Secondary</vt:lpstr>
      <vt:lpstr>Grid Emissions Intensity</vt:lpstr>
      <vt:lpstr>Other Ocean Industry Growth</vt:lpstr>
      <vt:lpstr>Shipping CO2e IRENA Scenario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Lauren Mahle</dc:creator>
  <cp:keywords/>
  <dc:description/>
  <cp:lastModifiedBy>Jessica Keith</cp:lastModifiedBy>
  <cp:revision/>
  <dcterms:created xsi:type="dcterms:W3CDTF">2024-04-12T20:06:56Z</dcterms:created>
  <dcterms:modified xsi:type="dcterms:W3CDTF">2025-03-20T20:06:52Z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0x010100D04687C780576447A20BEDA2BA7693A6</vt:lpwstr>
  </property>
  <property fmtid="{D5CDD505-2E9C-101B-9397-08002B2CF9AE}" pid="3" name="MediaServiceImageTags">
    <vt:lpwstr/>
  </property>
  <property fmtid="{D5CDD505-2E9C-101B-9397-08002B2CF9AE}" pid="4" name="_MarkAsFinal">
    <vt:bool>true</vt:bool>
  </property>
</Properties>
</file>