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1"/>
  <workbookPr/>
  <mc:AlternateContent xmlns:mc="http://schemas.openxmlformats.org/markup-compatibility/2006">
    <mc:Choice Requires="x15">
      <x15ac:absPath xmlns:x15ac="http://schemas.microsoft.com/office/spreadsheetml/2010/11/ac" url="https://oceanvisions1.sharepoint.com/sites/OV-Shared/Shared Documents/General/Programmatic Initiatives/Sinking_Seaweed_Research_Agenda/Outputs/"/>
    </mc:Choice>
  </mc:AlternateContent>
  <xr:revisionPtr revIDLastSave="0" documentId="8_{1167D985-D4F3-4112-97F6-B7B574E5DB50}" xr6:coauthVersionLast="47" xr6:coauthVersionMax="47" xr10:uidLastSave="{00000000-0000-0000-0000-000000000000}"/>
  <bookViews>
    <workbookView xWindow="2180" yWindow="760" windowWidth="17640" windowHeight="16140" xr2:uid="{D66EAA22-15BA-4F45-98F4-99CFC2E67EDA}"/>
  </bookViews>
  <sheets>
    <sheet name="Preface" sheetId="9" r:id="rId1"/>
    <sheet name="Summary" sheetId="2" r:id="rId2"/>
    <sheet name="Exp. Details" sheetId="3" r:id="rId3"/>
    <sheet name="Seaweed details" sheetId="5" r:id="rId4"/>
    <sheet name="Moorings" sheetId="7" r:id="rId5"/>
    <sheet name="Sensor platforms" sheetId="10" r:id="rId6"/>
    <sheet name="Ship-ROV req." sheetId="6" r:id="rId7"/>
    <sheet name="Instrument and Sensor costs" sheetId="11" r:id="rId8"/>
    <sheet name="Sample Analysis Costs" sheetId="4" r:id="rId9"/>
    <sheet name="Labor Costs" sheetId="8" r:id="rId10"/>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1" roundtripDataSignature="AMtx7mixgp5ifQwVaPosRz6ppPYBOuzfQA=="/>
    </ext>
  </extLst>
</workbook>
</file>

<file path=xl/calcChain.xml><?xml version="1.0" encoding="utf-8"?>
<calcChain xmlns="http://schemas.openxmlformats.org/spreadsheetml/2006/main">
  <c r="G28" i="2" l="1"/>
  <c r="F28" i="2"/>
  <c r="G9" i="8"/>
  <c r="D5" i="5"/>
  <c r="D6" i="5" s="1"/>
  <c r="G11" i="2"/>
  <c r="F11" i="2"/>
  <c r="E11" i="2"/>
  <c r="D11" i="2"/>
  <c r="C11" i="2"/>
  <c r="G12" i="2"/>
  <c r="F12" i="2"/>
  <c r="E12" i="2"/>
  <c r="D12" i="2"/>
  <c r="F5" i="4"/>
  <c r="G5" i="4" s="1"/>
  <c r="I27" i="10"/>
  <c r="E27" i="10"/>
  <c r="E22" i="10"/>
  <c r="I22" i="10" s="1"/>
  <c r="E21" i="10"/>
  <c r="E20" i="10"/>
  <c r="E19" i="10"/>
  <c r="E18" i="10"/>
  <c r="E17" i="10"/>
  <c r="E16" i="10"/>
  <c r="E15" i="10"/>
  <c r="E14" i="10"/>
  <c r="E13" i="10"/>
  <c r="E12" i="10"/>
  <c r="I12" i="10" s="1"/>
  <c r="E9" i="10"/>
  <c r="E8" i="10"/>
  <c r="E7" i="10"/>
  <c r="E6" i="10"/>
  <c r="I6" i="10" s="1"/>
  <c r="E5" i="10"/>
  <c r="G28" i="7"/>
  <c r="H24" i="7"/>
  <c r="H15" i="7"/>
  <c r="E12" i="7"/>
  <c r="G12" i="7"/>
  <c r="H12" i="7" s="1"/>
  <c r="E28" i="7"/>
  <c r="H28" i="7" s="1"/>
  <c r="E27" i="7"/>
  <c r="E24" i="7"/>
  <c r="E22" i="7"/>
  <c r="E21" i="7"/>
  <c r="H21" i="7" s="1"/>
  <c r="E20" i="7"/>
  <c r="E19" i="7"/>
  <c r="E18" i="7"/>
  <c r="H18" i="7" s="1"/>
  <c r="E17" i="7"/>
  <c r="H17" i="7" s="1"/>
  <c r="E16" i="7"/>
  <c r="H16" i="7" s="1"/>
  <c r="E15" i="7"/>
  <c r="E14" i="7"/>
  <c r="E13" i="7"/>
  <c r="H13" i="7" s="1"/>
  <c r="E8" i="7"/>
  <c r="H8" i="7" s="1"/>
  <c r="E7" i="7"/>
  <c r="H7" i="7" s="1"/>
  <c r="E6" i="7"/>
  <c r="H6" i="7" s="1"/>
  <c r="E5" i="7"/>
  <c r="D28" i="7"/>
  <c r="D18" i="6" s="1"/>
  <c r="F7" i="4"/>
  <c r="G7" i="4" s="1"/>
  <c r="G5" i="8"/>
  <c r="G7" i="7"/>
  <c r="G6" i="7"/>
  <c r="G22" i="7"/>
  <c r="H22" i="7" s="1"/>
  <c r="G21" i="7"/>
  <c r="G20" i="7"/>
  <c r="H20" i="7" s="1"/>
  <c r="G19" i="7"/>
  <c r="H19" i="7" s="1"/>
  <c r="G18" i="7"/>
  <c r="G17" i="7"/>
  <c r="G16" i="7"/>
  <c r="G15" i="7"/>
  <c r="G14" i="7"/>
  <c r="H14" i="7" s="1"/>
  <c r="G13" i="7"/>
  <c r="H22" i="10"/>
  <c r="H12" i="10"/>
  <c r="H6" i="10"/>
  <c r="I19" i="10" l="1"/>
  <c r="I20" i="10"/>
  <c r="I14" i="10"/>
  <c r="D7" i="5"/>
  <c r="H25" i="10"/>
  <c r="I25" i="10" s="1"/>
  <c r="H21" i="10"/>
  <c r="I21" i="10" s="1"/>
  <c r="H20" i="10"/>
  <c r="H19" i="10"/>
  <c r="H18" i="10"/>
  <c r="I18" i="10" s="1"/>
  <c r="H17" i="10"/>
  <c r="I17" i="10" s="1"/>
  <c r="H16" i="10"/>
  <c r="I16" i="10" s="1"/>
  <c r="H15" i="10"/>
  <c r="I15" i="10" s="1"/>
  <c r="H14" i="10"/>
  <c r="H13" i="10"/>
  <c r="I13" i="10" s="1"/>
  <c r="H8" i="10"/>
  <c r="I8" i="10" s="1"/>
  <c r="H7" i="10"/>
  <c r="I7" i="10" s="1"/>
  <c r="D20" i="6"/>
  <c r="D11" i="6"/>
  <c r="D12" i="6" s="1"/>
  <c r="D14" i="6" s="1"/>
  <c r="I11" i="2" l="1"/>
  <c r="G26" i="2" l="1"/>
  <c r="F26" i="2"/>
  <c r="E26" i="2"/>
  <c r="D26" i="2"/>
  <c r="D9" i="5"/>
  <c r="C12" i="2" s="1"/>
  <c r="C6" i="2"/>
  <c r="D7" i="6"/>
  <c r="I29" i="10" l="1"/>
  <c r="G13" i="2"/>
  <c r="D13" i="2"/>
  <c r="F13" i="2"/>
  <c r="E13" i="2"/>
  <c r="G8" i="8"/>
  <c r="G7" i="8"/>
  <c r="G6" i="8"/>
  <c r="G11" i="8" l="1"/>
  <c r="G12" i="8" s="1"/>
  <c r="I12" i="2"/>
  <c r="C13" i="2"/>
  <c r="F18" i="4"/>
  <c r="G18" i="4" s="1"/>
  <c r="F19" i="4"/>
  <c r="G19" i="4" s="1"/>
  <c r="F17" i="4"/>
  <c r="G17" i="4" s="1"/>
  <c r="F16" i="4"/>
  <c r="G16" i="4" s="1"/>
  <c r="F13" i="4"/>
  <c r="G13" i="4" s="1"/>
  <c r="F12" i="4"/>
  <c r="G12" i="4" s="1"/>
  <c r="F11" i="4"/>
  <c r="G11" i="4" s="1"/>
  <c r="F10" i="4"/>
  <c r="G10" i="4" s="1"/>
  <c r="F6" i="4"/>
  <c r="E6" i="2"/>
  <c r="E7" i="2" s="1"/>
  <c r="H29" i="7"/>
  <c r="C35" i="2" s="1"/>
  <c r="G42" i="2"/>
  <c r="G17" i="2"/>
  <c r="G20" i="2" s="1"/>
  <c r="F17" i="2"/>
  <c r="F20" i="2" s="1"/>
  <c r="E17" i="2"/>
  <c r="E20" i="2" s="1"/>
  <c r="D17" i="2"/>
  <c r="D20" i="2" s="1"/>
  <c r="C17" i="2"/>
  <c r="C20" i="2" s="1"/>
  <c r="C16" i="2"/>
  <c r="G6" i="4" l="1"/>
  <c r="G20" i="4" s="1"/>
  <c r="F20" i="4"/>
  <c r="C25" i="2"/>
  <c r="E25" i="2"/>
  <c r="F25" i="2"/>
  <c r="F31" i="2" s="1"/>
  <c r="D25" i="2"/>
  <c r="I17" i="2"/>
  <c r="G25" i="2"/>
  <c r="D16" i="2"/>
  <c r="E16" i="2" s="1"/>
  <c r="C18" i="2"/>
  <c r="E8" i="2"/>
  <c r="E9" i="2" s="1"/>
  <c r="C42" i="2"/>
  <c r="D18" i="2"/>
  <c r="F6" i="2"/>
  <c r="G6" i="2"/>
  <c r="D6" i="2"/>
  <c r="C24" i="2" l="1"/>
  <c r="C23" i="2"/>
  <c r="C27" i="2" s="1"/>
  <c r="C28" i="2" s="1"/>
  <c r="E37" i="2"/>
  <c r="D37" i="2"/>
  <c r="C37" i="2"/>
  <c r="G31" i="2"/>
  <c r="D31" i="2"/>
  <c r="E31" i="2"/>
  <c r="C31" i="2"/>
  <c r="I25" i="2"/>
  <c r="I20" i="2"/>
  <c r="I6" i="2"/>
  <c r="D24" i="2"/>
  <c r="D23" i="2"/>
  <c r="G7" i="2"/>
  <c r="G8" i="2"/>
  <c r="C7" i="2"/>
  <c r="C8" i="2"/>
  <c r="D7" i="2"/>
  <c r="D8" i="2"/>
  <c r="F7" i="2"/>
  <c r="F8" i="2"/>
  <c r="I35" i="2"/>
  <c r="C19" i="3" s="1"/>
  <c r="F42" i="2"/>
  <c r="E42" i="2"/>
  <c r="D42" i="2"/>
  <c r="E18" i="2"/>
  <c r="F16" i="2"/>
  <c r="F37" i="2" s="1"/>
  <c r="D27" i="2" l="1"/>
  <c r="D9" i="2"/>
  <c r="I31" i="2"/>
  <c r="C32" i="2"/>
  <c r="C33" i="2" s="1"/>
  <c r="F9" i="2"/>
  <c r="G9" i="2"/>
  <c r="C9" i="2"/>
  <c r="E23" i="2"/>
  <c r="E24" i="2"/>
  <c r="I13" i="2"/>
  <c r="I8" i="2"/>
  <c r="I7" i="2"/>
  <c r="I42" i="2"/>
  <c r="C21" i="3" s="1"/>
  <c r="F18" i="2"/>
  <c r="G16" i="2"/>
  <c r="D32" i="2" l="1"/>
  <c r="D28" i="2"/>
  <c r="E27" i="2"/>
  <c r="E28" i="2" s="1"/>
  <c r="G18" i="2"/>
  <c r="G23" i="2" s="1"/>
  <c r="G37" i="2"/>
  <c r="I9" i="2"/>
  <c r="I18" i="2"/>
  <c r="E32" i="2"/>
  <c r="F23" i="2"/>
  <c r="F24" i="2"/>
  <c r="I16" i="2"/>
  <c r="C18" i="3"/>
  <c r="D33" i="2"/>
  <c r="G24" i="2" l="1"/>
  <c r="I24" i="2"/>
  <c r="F27" i="2"/>
  <c r="I27" i="2" s="1"/>
  <c r="G27" i="2"/>
  <c r="I37" i="2"/>
  <c r="C20" i="3" s="1"/>
  <c r="I23" i="2"/>
  <c r="D39" i="2"/>
  <c r="D4" i="2" s="1"/>
  <c r="C39" i="2"/>
  <c r="C4" i="2" s="1"/>
  <c r="E33" i="2"/>
  <c r="G32" i="2" l="1"/>
  <c r="G33" i="2" s="1"/>
  <c r="F32" i="2"/>
  <c r="I32" i="2" s="1"/>
  <c r="E39" i="2"/>
  <c r="E4" i="2" s="1"/>
  <c r="G39" i="2" l="1"/>
  <c r="G4" i="2"/>
  <c r="I28" i="2"/>
  <c r="C16" i="3" s="1"/>
  <c r="F33" i="2"/>
  <c r="I33" i="2" l="1"/>
  <c r="F39" i="2"/>
  <c r="I39" i="2" s="1"/>
  <c r="F4" i="2" l="1"/>
  <c r="C17" i="3"/>
  <c r="I4" i="2"/>
  <c r="C22" i="3" l="1"/>
  <c r="C23" i="3" s="1"/>
  <c r="C24"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26" authorId="0" shapeId="0" xr:uid="{9BC0E950-EC27-4F9F-B731-0EE57A142937}">
      <text>
        <r>
          <rPr>
            <sz val="11"/>
            <color theme="1"/>
            <rFont val="Calibri"/>
            <family val="2"/>
            <scheme val="minor"/>
          </rPr>
          <t>Factor to reduce total time requierd by combining ROV activities (e.g., sensors swapped during ROV sampling dives</t>
        </r>
      </text>
    </comment>
    <comment ref="B28" authorId="0" shapeId="0" xr:uid="{47E31079-860F-4600-807A-DD9A2D030915}">
      <text>
        <r>
          <rPr>
            <sz val="11"/>
            <color theme="1"/>
            <rFont val="Calibri"/>
            <family val="2"/>
            <scheme val="minor"/>
          </rPr>
          <t>======
ID#AAAAYmRTvzg
Includes transit days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8" authorId="0" shapeId="0" xr:uid="{A5D62D8D-3268-4343-9E80-065B48ED92FF}">
      <text>
        <r>
          <rPr>
            <sz val="11"/>
            <color theme="1"/>
            <rFont val="Calibri"/>
            <family val="2"/>
            <scheme val="minor"/>
          </rPr>
          <t>This is a drop down menu selection - click to activate, then choose continuous or pulsed</t>
        </r>
      </text>
    </comment>
    <comment ref="C9" authorId="0" shapeId="0" xr:uid="{D867991F-D554-4B46-9361-D5876038CD3B}">
      <text>
        <r>
          <rPr>
            <sz val="11"/>
            <color theme="1"/>
            <rFont val="Calibri"/>
            <family val="2"/>
            <scheme val="minor"/>
          </rPr>
          <t>How many seaweed applications per year if "Continuous" is selected above)</t>
        </r>
      </text>
    </comment>
    <comment ref="C10" authorId="0" shapeId="0" xr:uid="{0D7DBEAC-6FDB-4100-B451-226CFF64043F}">
      <text>
        <r>
          <rPr>
            <sz val="11"/>
            <color theme="1"/>
            <rFont val="Calibri"/>
            <family val="2"/>
            <scheme val="minor"/>
          </rPr>
          <t>Only used for "continuous" - how many years will seaweed application continue?</t>
        </r>
      </text>
    </comment>
    <comment ref="C11" authorId="0" shapeId="0" xr:uid="{5C1C83C9-CC72-4BEC-B03B-61D0B494171F}">
      <text>
        <r>
          <rPr>
            <sz val="11"/>
            <color theme="1"/>
            <rFont val="Calibri"/>
            <family val="2"/>
            <scheme val="minor"/>
          </rPr>
          <t xml:space="preserve">
Total length of experimnent</t>
        </r>
      </text>
    </comment>
    <comment ref="C12" authorId="0" shapeId="0" xr:uid="{19EBBA4A-B59B-4F32-A839-651A907EBFE1}">
      <text>
        <r>
          <rPr>
            <sz val="11"/>
            <color theme="1"/>
            <rFont val="Calibri"/>
            <family val="2"/>
            <scheme val="minor"/>
          </rPr>
          <t xml:space="preserve">
How many times per year will the sites be visited during Y1?</t>
        </r>
      </text>
    </comment>
    <comment ref="C13" authorId="0" shapeId="0" xr:uid="{9B454192-655A-4AF1-848D-E2945CB2B7E1}">
      <text>
        <r>
          <rPr>
            <sz val="11"/>
            <color theme="1"/>
            <rFont val="Calibri"/>
            <family val="2"/>
            <scheme val="minor"/>
          </rPr>
          <t xml:space="preserve">
How many times per year will the sites be visited during Y2+?</t>
        </r>
      </text>
    </comment>
    <comment ref="C14" authorId="0" shapeId="0" xr:uid="{93AD3783-CD6C-4D08-BF25-E69F304FCA3B}">
      <text>
        <r>
          <rPr>
            <sz val="11"/>
            <color theme="1"/>
            <rFont val="Calibri"/>
            <family val="2"/>
            <scheme val="minor"/>
          </rPr>
          <t xml:space="preserve">Enter the percentage of the Project Cost Subtotal (listed below) to be earmarked for contingencies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D8" authorId="0" shapeId="0" xr:uid="{4EF01EF5-E19E-4486-9F63-1AC667286085}">
      <text>
        <r>
          <rPr>
            <sz val="11"/>
            <color theme="1"/>
            <rFont val="Calibri"/>
            <family val="2"/>
            <scheme val="minor"/>
          </rPr>
          <t xml:space="preserve">Estimate of the time required (days) to deploy a tonne of seaweed when at the site.
</t>
        </r>
      </text>
    </comment>
    <comment ref="D16" authorId="0" shapeId="0" xr:uid="{50EE9EF5-E7A8-44A5-817F-683504F2F600}">
      <text>
        <r>
          <rPr>
            <sz val="11"/>
            <color theme="1"/>
            <rFont val="Calibri"/>
            <family val="2"/>
            <scheme val="minor"/>
          </rPr>
          <t>From the literature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D5" authorId="0" shapeId="0" xr:uid="{D11E4BA2-23E9-408B-BDB9-1E4E9A7AF18E}">
      <text>
        <r>
          <rPr>
            <sz val="11"/>
            <color theme="1"/>
            <rFont val="Calibri"/>
            <family val="2"/>
            <scheme val="minor"/>
          </rPr>
          <t>How many instrument moorings will be deployed - the total for all sites</t>
        </r>
      </text>
    </comment>
    <comment ref="D6" authorId="0" shapeId="0" xr:uid="{5206388C-2E3F-4C01-8732-2DB5F205DA56}">
      <text>
        <r>
          <rPr>
            <sz val="11"/>
            <color theme="1"/>
            <rFont val="Calibri"/>
            <family val="2"/>
            <scheme val="minor"/>
          </rPr>
          <t>This is the number of acoustic releases per mooring.  Usually either 1 or 2 per mooring -</t>
        </r>
      </text>
    </comment>
    <comment ref="G24" authorId="0" shapeId="0" xr:uid="{116BC6D9-51EC-4428-BC74-F740A9010DF5}">
      <text>
        <r>
          <rPr>
            <sz val="11"/>
            <color theme="1"/>
            <rFont val="Calibri"/>
            <family val="2"/>
            <scheme val="minor"/>
          </rPr>
          <t xml:space="preserve">Estimated yearly misc maintenance cost per mooring
</t>
        </r>
      </text>
    </comment>
    <comment ref="D27" authorId="0" shapeId="0" xr:uid="{C176A615-1471-4E7D-A3F1-647B03890E59}">
      <text>
        <r>
          <rPr>
            <sz val="11"/>
            <color theme="1"/>
            <rFont val="Calibri"/>
            <family val="2"/>
            <scheme val="minor"/>
          </rPr>
          <t>Enter how long it takes to deploy or recover a mooring.</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Jim Barry</author>
  </authors>
  <commentList>
    <comment ref="D5" authorId="0" shapeId="0" xr:uid="{62CBB805-CEB6-4A70-97C0-8C1CA28BEBD6}">
      <text>
        <r>
          <rPr>
            <sz val="11"/>
            <color theme="1"/>
            <rFont val="Calibri"/>
            <family val="2"/>
            <scheme val="minor"/>
          </rPr>
          <t>This is the number of acoustic releases per mooring.  Usually either 1 or 2 per mooring -</t>
        </r>
      </text>
    </comment>
    <comment ref="D6" authorId="0" shapeId="0" xr:uid="{FB668877-9ED2-492E-83A9-AD4694C0A933}">
      <text>
        <r>
          <rPr>
            <sz val="11"/>
            <color theme="1"/>
            <rFont val="Calibri"/>
            <family val="2"/>
            <scheme val="minor"/>
          </rPr>
          <t>This is the number of acoustic releases per mooring.  Usually either 1 or 2 per mooring -</t>
        </r>
      </text>
    </comment>
    <comment ref="D12" authorId="0" shapeId="0" xr:uid="{99399B8C-F905-4375-B3F9-D0769BE55EB9}">
      <text>
        <r>
          <rPr>
            <sz val="11"/>
            <color theme="1"/>
            <rFont val="Calibri"/>
            <family val="2"/>
            <scheme val="minor"/>
          </rPr>
          <t xml:space="preserve">This is the total number of sensor platforms (sensor arrays on deployable frames) planned for the entire experiment (i.e., all sites,)
</t>
        </r>
      </text>
    </comment>
    <comment ref="D24" authorId="1" shapeId="0" xr:uid="{4BEECB01-DCED-49A4-A2FC-F7B210141E67}">
      <text>
        <r>
          <rPr>
            <sz val="9"/>
            <color indexed="81"/>
            <rFont val="Tahoma"/>
            <family val="2"/>
          </rPr>
          <t>Enter the number of sites where each unmoored instrument type will be deployed (i.e., even though there may be several treatment and control sites, each instrument may not be deployed at each site.</t>
        </r>
      </text>
    </comment>
    <comment ref="H27" authorId="0" shapeId="0" xr:uid="{20035B3B-33FA-41A4-85FA-524F6E469FD0}">
      <text>
        <r>
          <rPr>
            <sz val="11"/>
            <color theme="1"/>
            <rFont val="Calibri"/>
            <family val="2"/>
            <scheme val="minor"/>
          </rPr>
          <t xml:space="preserve">Estimated yearly misc maintenance cost per mooring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D6" authorId="0" shapeId="0" xr:uid="{D78460BB-1259-4448-9AE4-73B78ECFE29F}">
      <text>
        <r>
          <rPr>
            <sz val="11"/>
            <color theme="1"/>
            <rFont val="Calibri"/>
            <family val="2"/>
            <scheme val="minor"/>
          </rPr>
          <t>Enter the estimated days (or portion of a day) required to deploy instruments by ROV - not including moorings</t>
        </r>
      </text>
    </comment>
    <comment ref="C7" authorId="0" shapeId="0" xr:uid="{328C4A87-4C7B-466B-A3A3-A506C28F7021}">
      <text>
        <r>
          <rPr>
            <sz val="11"/>
            <color theme="1"/>
            <rFont val="Calibri"/>
            <family val="2"/>
            <scheme val="minor"/>
          </rPr>
          <t>Includes 1 d minimum</t>
        </r>
      </text>
    </comment>
    <comment ref="C10" authorId="0" shapeId="0" xr:uid="{13B79175-2610-42BF-B606-E94DB1D616DF}">
      <text>
        <r>
          <rPr>
            <sz val="11"/>
            <color theme="1"/>
            <rFont val="Calibri"/>
            <family val="2"/>
            <scheme val="minor"/>
          </rPr>
          <t>This is an estimate of the time (days) required to visit, observe, and sample a 1 h sized area of either control or treatment sites</t>
        </r>
      </text>
    </comment>
    <comment ref="D10" authorId="0" shapeId="0" xr:uid="{043DAF2A-E326-4A60-A5C9-048921B37615}">
      <text>
        <r>
          <rPr>
            <sz val="11"/>
            <color theme="1"/>
            <rFont val="Calibri"/>
            <family val="2"/>
            <scheme val="minor"/>
          </rPr>
          <t>Estimated ROV time required for sampling a site (video transects, cores, collections, etc.) - not including the time to deploy or recover instruments</t>
        </r>
      </text>
    </comment>
    <comment ref="C11" authorId="0" shapeId="0" xr:uid="{FB7CC865-C276-411A-B145-CAE4D4D016E4}">
      <text>
        <r>
          <rPr>
            <sz val="11"/>
            <color theme="1"/>
            <rFont val="Calibri"/>
            <family val="2"/>
            <scheme val="minor"/>
          </rPr>
          <t>Includes 1 d minimum</t>
        </r>
      </text>
    </comment>
    <comment ref="D20" authorId="0" shapeId="0" xr:uid="{D64ACDCB-B064-4AB9-BEED-7339F1478EF4}">
      <text>
        <r>
          <rPr>
            <sz val="11"/>
            <color theme="1"/>
            <rFont val="Calibri"/>
            <family val="2"/>
            <scheme val="minor"/>
          </rPr>
          <t xml:space="preserve">Enter the value on the Seaweed Details page.  It is automatically copied here.
</t>
        </r>
      </text>
    </comment>
    <comment ref="D23" authorId="0" shapeId="0" xr:uid="{D3349EB7-9EE3-4D71-BE3A-CE1376388827}">
      <text>
        <r>
          <rPr>
            <sz val="11"/>
            <color theme="1"/>
            <rFont val="Calibri"/>
            <family val="2"/>
            <scheme val="minor"/>
          </rPr>
          <t>one way transit time to site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Jim Barry</author>
  </authors>
  <commentList>
    <comment ref="D5" authorId="0" shapeId="0" xr:uid="{E7022CB6-049D-4E12-8BBC-80B5F0B857A7}">
      <text>
        <r>
          <rPr>
            <sz val="11"/>
            <color theme="1"/>
            <rFont val="Calibri"/>
            <family val="2"/>
            <scheme val="minor"/>
          </rPr>
          <t>Lisa Levin    (2022-05-17 06:09:10)
20 samples seems exceptionally low  - wouldn't you wnt to look at multiple consumer species, POC, the algae itself etc.  - Would suggest at a minimum 200 samples per visit and annual sampling</t>
        </r>
      </text>
    </comment>
    <comment ref="D19" authorId="1" shapeId="0" xr:uid="{9DBE9890-B18C-43F2-80CF-AAACC3BDFD58}">
      <text>
        <r>
          <rPr>
            <b/>
            <sz val="9"/>
            <color indexed="81"/>
            <rFont val="Tahoma"/>
            <family val="2"/>
          </rPr>
          <t>Jim Barry:</t>
        </r>
        <r>
          <rPr>
            <sz val="9"/>
            <color indexed="81"/>
            <rFont val="Tahoma"/>
            <family val="2"/>
          </rPr>
          <t xml:space="preserve">
Up to 40 down-core subsamples per box core
</t>
        </r>
      </text>
    </comment>
  </commentList>
</comments>
</file>

<file path=xl/sharedStrings.xml><?xml version="1.0" encoding="utf-8"?>
<sst xmlns="http://schemas.openxmlformats.org/spreadsheetml/2006/main" count="442" uniqueCount="336">
  <si>
    <t>Preface explaining some elements of the budget estimator.</t>
  </si>
  <si>
    <t>Summary:</t>
  </si>
  <si>
    <t>This page gathers information from other pages and summarizes the total estimated cost (upper right cells).</t>
  </si>
  <si>
    <t>Exp. Details:</t>
  </si>
  <si>
    <t>This is where the major parameters for the experiment are defined.</t>
  </si>
  <si>
    <t>Seaweed details:</t>
  </si>
  <si>
    <t>This section calculates seaweed needs (metric tonnes) and cost, based on input from the Exp. Details page.</t>
  </si>
  <si>
    <t>Moorings</t>
  </si>
  <si>
    <t>This captures the number, schedule, and costs of moorings and associated instruments</t>
  </si>
  <si>
    <t>Sensor platforms:</t>
  </si>
  <si>
    <t>This concerns platforms (other than moorings) deployed as a free-vehicle or by ROV, on which various sensors are mounted.</t>
  </si>
  <si>
    <t>Ship-ROV req.:</t>
  </si>
  <si>
    <t>Several critical estimates are included here that will define the number of ship and ROV days for the project,</t>
  </si>
  <si>
    <t>E.g., the time required to deploy instruments or smaple biota during each visit to the experimental site.</t>
  </si>
  <si>
    <t xml:space="preserve">Instrument and Sensor Costs: </t>
  </si>
  <si>
    <t>Estimated costs of samplers and sensors</t>
  </si>
  <si>
    <t>Sample Analysis Costs:</t>
  </si>
  <si>
    <t>Just what it sounds like.  Intially the cost per sample are coarse and need refinement.  The number of samples is also defined here .</t>
  </si>
  <si>
    <t>Labor Costs:</t>
  </si>
  <si>
    <t>Enter the personnel types and requirmenets here.  Obviously, larger experiments will required more people</t>
  </si>
  <si>
    <t>Misc.</t>
  </si>
  <si>
    <t>1. This budget estimating tool helps generate a coarse cost for a potential seaweed sinking experiment</t>
  </si>
  <si>
    <t>2. The yellow cells are estimated or known values.   These can be edited to match experimental operations and cost</t>
  </si>
  <si>
    <t>3. Blue cells are formulate that use provided information (yellow cells) to calculate costs</t>
  </si>
  <si>
    <t>4. Entries in yellow cells are currently coarse estimates and may require revision.</t>
  </si>
  <si>
    <t>5. Some entries can have large effects on the total cost of project</t>
  </si>
  <si>
    <t>6. A metric tonne (mt) is 1000 kg., and megatonne (MT) is 1,000,000 mt.</t>
  </si>
  <si>
    <t>How to Use:</t>
  </si>
  <si>
    <t>1. Start with Exp. Details to define key elements of the experiment.</t>
  </si>
  <si>
    <t xml:space="preserve">   - Fill in the yellow cells, click on the green cell (C8) and choose the continuous or pulse experimental design.</t>
  </si>
  <si>
    <t>2.  Seaweed Details</t>
  </si>
  <si>
    <t xml:space="preserve">   - This includes the estimated cost of seaweed (per metric tonne)  and the ship-time required to deploy it.</t>
  </si>
  <si>
    <t xml:space="preserve">   - This section also estimates the total seaweed required for the project.</t>
  </si>
  <si>
    <t>3. Moorings</t>
  </si>
  <si>
    <t xml:space="preserve">   - Here, fill in the yellow cells to define some of the details (moorings, instruments, etc.).</t>
  </si>
  <si>
    <t>4. Sensor platforms</t>
  </si>
  <si>
    <t xml:space="preserve">   - Fill in cells to define the number of platforms , sensors, etc. that will be deployed </t>
  </si>
  <si>
    <t>5. Ship, ROV, AUV req.</t>
  </si>
  <si>
    <t xml:space="preserve">   - ROV support (D6).  Estimating the number of days required for an ROV is difficult. What is required to deploy or recover seafloor instruments or sample sediments, etc?</t>
  </si>
  <si>
    <t xml:space="preserve">   - ROV support (D9).  How long will it take an ROV to sample (rov transects, sample collection…) on the seafloor per hectare of the experimnet - this is also very difficult.</t>
  </si>
  <si>
    <t xml:space="preserve">   - ROV combination factor:  this is a fudge factor that estimates how many ROV activities can be combined.  If most activities can be combined (use 3),</t>
  </si>
  <si>
    <t xml:space="preserve">               then ROV operations will be more efficient, rather then no combination (1) is possible, e.g., some activities simple cannot be combined</t>
  </si>
  <si>
    <t xml:space="preserve">   - Research ship days:    How many days required per mooring (dpeloyment or recovery)?</t>
  </si>
  <si>
    <t xml:space="preserve">   - Transit time to the site</t>
  </si>
  <si>
    <t>This is where the distance to the site can be entered, and will be included in calculations of ship days required.</t>
  </si>
  <si>
    <t>6. Instrument and Sensor Costs</t>
  </si>
  <si>
    <t xml:space="preserve">   - Here you can enter the estimated cost of instruments, sampling systems, etc. </t>
  </si>
  <si>
    <t>7. Sample Analysis Costs</t>
  </si>
  <si>
    <t xml:space="preserve">   - Here you can enter the number of samples or analyses required per site per visit, and their estimated costs.</t>
  </si>
  <si>
    <t>8. Labor Costs</t>
  </si>
  <si>
    <t xml:space="preserve">   - Here you can estimate the number of people and their level of effort for various levels of expertise.</t>
  </si>
  <si>
    <t>8.  Summary -  the bottom line!</t>
  </si>
  <si>
    <t xml:space="preserve">   - This page summarizes all of the costs, based on your definition of the experimental scope, instrumentation, and labor.</t>
  </si>
  <si>
    <t>Continuous</t>
  </si>
  <si>
    <t>Pulse</t>
  </si>
  <si>
    <t>SUMMARY</t>
  </si>
  <si>
    <t>Year 1</t>
  </si>
  <si>
    <t>Year 2</t>
  </si>
  <si>
    <t>Year 3</t>
  </si>
  <si>
    <t>Year 4</t>
  </si>
  <si>
    <t>Year 5</t>
  </si>
  <si>
    <t>Experiment Total</t>
  </si>
  <si>
    <t>Blue cells are formulae</t>
  </si>
  <si>
    <t>Yellow cells require manual input</t>
  </si>
  <si>
    <t>Cost ($ Millions)</t>
  </si>
  <si>
    <t>Grand Total ($M)</t>
  </si>
  <si>
    <t>Total Seaweed Mass req. (tonnes wet)</t>
  </si>
  <si>
    <t>metric tonnes</t>
  </si>
  <si>
    <t>Seaweed Cost ($K)</t>
  </si>
  <si>
    <t>$K</t>
  </si>
  <si>
    <t>Packaging cost ($K)</t>
  </si>
  <si>
    <t>Total Seaweed Cost ($K)</t>
  </si>
  <si>
    <t>Ship days for seaweed transport</t>
  </si>
  <si>
    <t xml:space="preserve">Shipdays for seaweed application </t>
  </si>
  <si>
    <t xml:space="preserve">Total seaweed deployment ship days </t>
  </si>
  <si>
    <t>days</t>
  </si>
  <si>
    <t>Instrument Deployment and Sampling</t>
  </si>
  <si>
    <t>Number of Sites (Treat + Control)</t>
  </si>
  <si>
    <t>Number of Visits per year</t>
  </si>
  <si>
    <t>Number of Site visited for moorings, rov per year</t>
  </si>
  <si>
    <t>Ship Days for Mooring activities</t>
  </si>
  <si>
    <t>ROV Sampling</t>
  </si>
  <si>
    <t>Ship days for ROV monitoring</t>
  </si>
  <si>
    <t>Ship days for ROV inst deployment / recovery</t>
  </si>
  <si>
    <t>Ship Transit days</t>
  </si>
  <si>
    <t>Comination factor (1 to 2)</t>
  </si>
  <si>
    <t>Ship Days for ROV Activities</t>
  </si>
  <si>
    <t>Total Ship days (seaweed + sampling)</t>
  </si>
  <si>
    <t>Ship Costs</t>
  </si>
  <si>
    <t>Ship Costs per year (no ROV)</t>
  </si>
  <si>
    <t>Ship Costs per year (with ROV)</t>
  </si>
  <si>
    <t>Ship Costs by year</t>
  </si>
  <si>
    <t>Instrument Cost (all sites)</t>
  </si>
  <si>
    <t>Sample Analysis Costs/y</t>
  </si>
  <si>
    <t>Continency funds</t>
  </si>
  <si>
    <t>Labor</t>
  </si>
  <si>
    <t>Total Salaries</t>
  </si>
  <si>
    <t>Yellow cells</t>
  </si>
  <si>
    <t>estimated values: edit as needed</t>
  </si>
  <si>
    <t>blue cells</t>
  </si>
  <si>
    <t>formulae - do not edit</t>
  </si>
  <si>
    <t>Sample Costs per year</t>
  </si>
  <si>
    <t>Experimental Details</t>
  </si>
  <si>
    <t>Number</t>
  </si>
  <si>
    <t>Units</t>
  </si>
  <si>
    <t>Comment</t>
  </si>
  <si>
    <t>Seaweed plot area</t>
  </si>
  <si>
    <t>square meters</t>
  </si>
  <si>
    <t>Defines the size of the experiment</t>
  </si>
  <si>
    <t>Seaweed thickness</t>
  </si>
  <si>
    <t>cm</t>
  </si>
  <si>
    <t>Number of treatment sites</t>
  </si>
  <si>
    <t>sites (=replicates)</t>
  </si>
  <si>
    <t>Number of control sites</t>
  </si>
  <si>
    <t>sites</t>
  </si>
  <si>
    <t>Pulse or Continuous seaweed application?</t>
  </si>
  <si>
    <t>treatment</t>
  </si>
  <si>
    <t>Pull down menu (click on cell to show pull-down)</t>
  </si>
  <si>
    <t>Frequency of Continuous Applications (#/year; 0 if "Pulse")</t>
  </si>
  <si>
    <t>#/year</t>
  </si>
  <si>
    <t>How many seaweed applications per year if "Continuous" is selected above)</t>
  </si>
  <si>
    <t>Duration of Continous Applications (years)</t>
  </si>
  <si>
    <t>years</t>
  </si>
  <si>
    <t>Only used for "continuous" - how many years will seaweed application continue?</t>
  </si>
  <si>
    <t>Experiment Duration (years)</t>
  </si>
  <si>
    <t>Total length of experiment</t>
  </si>
  <si>
    <t>Frequency of Monitoring year 1</t>
  </si>
  <si>
    <t>Number of visits to site during year 1</t>
  </si>
  <si>
    <t>Frequency of Monitoring year 2+</t>
  </si>
  <si>
    <t>Number of visits to site during year 2+</t>
  </si>
  <si>
    <t>Continency Fund percentage</t>
  </si>
  <si>
    <t>Percentage</t>
  </si>
  <si>
    <t>What percent of the project cost subtotal should be added for contingencies?</t>
  </si>
  <si>
    <t>Ship Days</t>
  </si>
  <si>
    <t>Ship / ROV Costs</t>
  </si>
  <si>
    <t>$M</t>
  </si>
  <si>
    <t xml:space="preserve">Seaweed </t>
  </si>
  <si>
    <t>Instruments &amp; Moorings</t>
  </si>
  <si>
    <t>Analyses</t>
  </si>
  <si>
    <t>Project Subtotal Cost</t>
  </si>
  <si>
    <t>Contingency fund</t>
  </si>
  <si>
    <t>Total Project  Cost</t>
  </si>
  <si>
    <t>Seaweed acquisition &amp; deployment</t>
  </si>
  <si>
    <t>Parameter</t>
  </si>
  <si>
    <t>Calculated #</t>
  </si>
  <si>
    <t>Unit</t>
  </si>
  <si>
    <t>Seaweed Mass per site</t>
  </si>
  <si>
    <t>Metric tonnes Seaweed / site / application</t>
  </si>
  <si>
    <t>Calculated estimate of seaweed mass required per site per application</t>
  </si>
  <si>
    <t>Seaweed Mass (all replicates, annual requirement)</t>
  </si>
  <si>
    <t>Metric tonnes Seaweed total/year</t>
  </si>
  <si>
    <t>Calculated estimate of required mass of seaweed per year</t>
  </si>
  <si>
    <t>Seaweed Volume (all replicates, annual requirement)</t>
  </si>
  <si>
    <t>cubic meters seaweed (wet) per year</t>
  </si>
  <si>
    <t>Required seaweed volume for each year deployed.</t>
  </si>
  <si>
    <t>Tonnes deployable per day by ship</t>
  </si>
  <si>
    <t>metric tonne (1000 kg) deployed per day (max)</t>
  </si>
  <si>
    <t>Basically how many tonnes the ship may hold and deploy in a single day.,</t>
  </si>
  <si>
    <t>Shipdays required per site per application</t>
  </si>
  <si>
    <t>days per site per application (1 day minimum, rounded up to nearest day)</t>
  </si>
  <si>
    <t>Calculated estimate of required shipdays based on experimental size and other details</t>
  </si>
  <si>
    <t>Seaweed cost (per tonne)</t>
  </si>
  <si>
    <t>$K / tonne</t>
  </si>
  <si>
    <t>uninformed estimated cost per tonne -  (Jim Barry)</t>
  </si>
  <si>
    <t>Seaweed packaging / baling / ballasting cost</t>
  </si>
  <si>
    <t>Seaweed transport cost (ship days in addition to field support for application)</t>
  </si>
  <si>
    <t>Ship days per application: (beyond those required for field trial</t>
  </si>
  <si>
    <t>Depends upon travel between algal source and field trial</t>
  </si>
  <si>
    <t>Related information</t>
  </si>
  <si>
    <t>Seaweed wet wt/vol wet</t>
  </si>
  <si>
    <t>kg/m3 wet wt.</t>
  </si>
  <si>
    <t>https://www.aqua-calc.com/</t>
  </si>
  <si>
    <t>Mooring Details</t>
  </si>
  <si>
    <t>Number of moorings / site</t>
  </si>
  <si>
    <t>Total # (all moorings)</t>
  </si>
  <si>
    <t>Unit cost (K$)</t>
  </si>
  <si>
    <t>Total mooring cost for all sites</t>
  </si>
  <si>
    <t>Moorings per site</t>
  </si>
  <si>
    <t>Total # for all sites</t>
  </si>
  <si>
    <t xml:space="preserve">Includes treatment and control locations: </t>
  </si>
  <si>
    <t>Acoustic Releases (per mooring)</t>
  </si>
  <si>
    <t>Number per Mooring</t>
  </si>
  <si>
    <t>Floats (per mooring)</t>
  </si>
  <si>
    <t>Misc mooring gear (per mooring)</t>
  </si>
  <si>
    <t>Mooring Duty Cycle (months per turnaround)</t>
  </si>
  <si>
    <t>Months / deployment</t>
  </si>
  <si>
    <t>Mooring Sensors</t>
  </si>
  <si>
    <t>#/mooring</t>
  </si>
  <si>
    <t>Total Number (all moorings)</t>
  </si>
  <si>
    <t>Listed costs are informed estimates and not based on quoted costs.  The Number of control and treatment sites is defined in the Exp. Details page, but the total number of moorings and the number of sites where individual sensors are deployed can be defined here</t>
  </si>
  <si>
    <t>Current meter (ADCP)</t>
  </si>
  <si>
    <t>Carbon Dioxide</t>
  </si>
  <si>
    <t>Oxygen</t>
  </si>
  <si>
    <t>isfet pH sensor</t>
  </si>
  <si>
    <t>McLane Sediment trap</t>
  </si>
  <si>
    <t>Backscatter / turbidity</t>
  </si>
  <si>
    <t>Chlorophyll a sensor</t>
  </si>
  <si>
    <t>Methane</t>
  </si>
  <si>
    <t>CTDs</t>
  </si>
  <si>
    <t>McLane Phytoplankton sampler</t>
  </si>
  <si>
    <t>McLane Profiler</t>
  </si>
  <si>
    <t>Mooring maintenance cost</t>
  </si>
  <si>
    <t>General maintenance cost: all moorings</t>
  </si>
  <si>
    <t>Mooring Ship Requirements</t>
  </si>
  <si>
    <t>Research Ship (days per mooring)</t>
  </si>
  <si>
    <t>Days per mooring for recovery or deployment</t>
  </si>
  <si>
    <t xml:space="preserve">Ship days required total </t>
  </si>
  <si>
    <t>Ship days per mooring (deployment &amp; recovery) x # moorings * number of deployments per year (minimum of 1d)</t>
  </si>
  <si>
    <t>Mooring Cost Summary</t>
  </si>
  <si>
    <t>Total Mooring Cost (all sites)</t>
  </si>
  <si>
    <t>Sensor Array Details</t>
  </si>
  <si>
    <t>Code</t>
  </si>
  <si>
    <t>Sensor Platform (or ROV deployed platform)</t>
  </si>
  <si>
    <t>Number per site</t>
  </si>
  <si>
    <t>Number total (all sites)</t>
  </si>
  <si>
    <t>Total cost for all sites</t>
  </si>
  <si>
    <t>Sensor Platform per site</t>
  </si>
  <si>
    <t>Sensor platforms can be used to house sensors to reduce the time required for deployment and recovery.  These may be deployed as free vehicles with an acoustic release and flotation to aid recovery, or be deployed and recovered by ROV</t>
  </si>
  <si>
    <t>Acoustic Releases (per sensor platform)</t>
  </si>
  <si>
    <t>Floats (per sensor platform)</t>
  </si>
  <si>
    <t>Misc platform deployment gear (per platform)</t>
  </si>
  <si>
    <t>Sensor platform deployment duration</t>
  </si>
  <si>
    <t>Sensors on Array</t>
  </si>
  <si>
    <t>#/platform</t>
  </si>
  <si>
    <t>Total (all platforms)</t>
  </si>
  <si>
    <t># sensor arrays per site</t>
  </si>
  <si>
    <t>Sensor platform</t>
  </si>
  <si>
    <t>Rather than deploying sensors independently, it is likely that a sensor frame/platform will be used. It may be deployed as a free-vehicle with floatation and an acoustic release (optimally), then repositioned using the ROV</t>
  </si>
  <si>
    <t>pH</t>
  </si>
  <si>
    <t>Nitrate</t>
  </si>
  <si>
    <t>Chlorophyll</t>
  </si>
  <si>
    <t>Methane?</t>
  </si>
  <si>
    <t>Useful for eDNA sampling</t>
  </si>
  <si>
    <t>Instrument Systems</t>
  </si>
  <si>
    <t>Number of sites (Treat/Cont.)</t>
  </si>
  <si>
    <t>Unit cost</t>
  </si>
  <si>
    <t>Box corer / multi-corer</t>
  </si>
  <si>
    <t>Instrument &amp; Systems Maintenance</t>
  </si>
  <si>
    <t>Instrument Cost Summary</t>
  </si>
  <si>
    <t>Total Sensor platform Cost (all sites)</t>
  </si>
  <si>
    <t>Platforms (ships / rovs)</t>
  </si>
  <si>
    <t>Remotely Operated Vehicles (ROVs)</t>
  </si>
  <si>
    <t>Explanation</t>
  </si>
  <si>
    <t>Instrument / sensor array deployment</t>
  </si>
  <si>
    <t>ROV support (days per instrument set )</t>
  </si>
  <si>
    <t xml:space="preserve">This is an estimate of the time (days) required to deploy gear at a single control or treatment site.  </t>
  </si>
  <si>
    <t>Estimating ROV time is difficult - variables include how many instruments / samples, etc. are servicable per dive, depth, weather, bottom conditions.  The coarse estimates provided are from my (jim barry) experience using ROVs at 0.5 to 4 km depth</t>
  </si>
  <si>
    <t>ROV (days per site)</t>
  </si>
  <si>
    <t>Calculated total days per site (includes a 1d minimum)</t>
  </si>
  <si>
    <t>Monitoring</t>
  </si>
  <si>
    <t>ROV support (days per hectare )</t>
  </si>
  <si>
    <t>This is an estimate of the time (days) required to visit, observe, and sample a 1 hectare area of either control or treatment sites, not including instrument deployment or recovery</t>
  </si>
  <si>
    <t>This will be used to calculate ROV days required for the experiment, based on the area defined in Exp. Details</t>
  </si>
  <si>
    <t>ROV (days per visit per site (e.g., per replicate treatment or control site)</t>
  </si>
  <si>
    <t>Ship days for monitoring and instrument deployment / recovery per visit per site (e.g., per replicate treatment or control site)</t>
  </si>
  <si>
    <t>This ship-time estimate is to complete video transects, sampling, and sensor turnaround, but not mooring turnaround - i.e., all ROV-based operations (per site)</t>
  </si>
  <si>
    <t>ROV Combination Factor (can instrument deployment / recovery by ROV be combined with site ROV sampling (yes = 1)?</t>
  </si>
  <si>
    <t>Can ROV operations be combined? Yes = 1, no = 0</t>
  </si>
  <si>
    <t>This is a sort of fudge factor used to estimate the total ROV time required for all operations, For example, if gear deployments or recoveries can be combined with benthic sampling (combination factor = 1), that reduces total ROV requirements by 1/3rd.  This is arbitrary, but may help refine the requirements</t>
  </si>
  <si>
    <t>Ship/ROV days required after Adjustment (combo factor)</t>
  </si>
  <si>
    <t>ROV Days per Site (1 visit)</t>
  </si>
  <si>
    <t>Ship Days for Mooring Deployment/recovery</t>
  </si>
  <si>
    <t>Mooring ship requirement (from Moorings page)</t>
  </si>
  <si>
    <t>Ship days for all moorings per year</t>
  </si>
  <si>
    <t>Ship Days for Macroalgal Transport</t>
  </si>
  <si>
    <t>Days required to transport macroalgae for 1 application</t>
  </si>
  <si>
    <t>This indicates ship days required in addition to other activities (i.e., extra costs for algal transport that cannot be completed using other shiptime.</t>
  </si>
  <si>
    <t>Research ship distance to experimental site</t>
  </si>
  <si>
    <t>Shipday transit time to site (1 way)</t>
  </si>
  <si>
    <t>days transit</t>
  </si>
  <si>
    <t>One-way transit time to site</t>
  </si>
  <si>
    <t>AUV (deep diving with sensor package</t>
  </si>
  <si>
    <t>???</t>
  </si>
  <si>
    <t>days use per site</t>
  </si>
  <si>
    <t>this is currentnly undefined.  Availability?, cost?, sensors?</t>
  </si>
  <si>
    <t xml:space="preserve">Rate (no ROV) </t>
  </si>
  <si>
    <t>$K / day</t>
  </si>
  <si>
    <t xml:space="preserve">Rate (with ROV) </t>
  </si>
  <si>
    <t>Edit as required</t>
  </si>
  <si>
    <t>Leave as is</t>
  </si>
  <si>
    <t>Equipment Costs</t>
  </si>
  <si>
    <t>Item</t>
  </si>
  <si>
    <t>Cost / unit ($K)</t>
  </si>
  <si>
    <t>Mooring Gear</t>
  </si>
  <si>
    <t>Acoustic Release</t>
  </si>
  <si>
    <t>Oceanographic Float (+50# buoyancy)</t>
  </si>
  <si>
    <t>Sensors</t>
  </si>
  <si>
    <t>Coarse estimate for single unit</t>
  </si>
  <si>
    <t>Oxygen Optode</t>
  </si>
  <si>
    <t>Nitrate analyzer</t>
  </si>
  <si>
    <t>CTD (conductivity, temperature, depth)</t>
  </si>
  <si>
    <t>Sampling Systems</t>
  </si>
  <si>
    <t>Box Corer / multicorer</t>
  </si>
  <si>
    <t>Filters up to 10l/sample x24- useful for eDNA sampling</t>
  </si>
  <si>
    <t>Profiles 500 m of water column with sensors and flow speed</t>
  </si>
  <si>
    <t>Sediment trap (e.g., McLane)</t>
  </si>
  <si>
    <t>Time Lapse Camera</t>
  </si>
  <si>
    <t xml:space="preserve">free vehicle to hold sensors: coarse estimate </t>
  </si>
  <si>
    <t>Sample Analyses</t>
  </si>
  <si>
    <t># / site/visit</t>
  </si>
  <si>
    <t>Cost/Sample ($)</t>
  </si>
  <si>
    <t>Cost/Site/Visit</t>
  </si>
  <si>
    <t>Total Exp. Cost</t>
  </si>
  <si>
    <t>Source</t>
  </si>
  <si>
    <t>CHN, Stable isotopes (C,N)</t>
  </si>
  <si>
    <t>Lisa Levin</t>
  </si>
  <si>
    <t>eDNA from discrete water samples</t>
  </si>
  <si>
    <t>eDNA from Phytoplankton sampler</t>
  </si>
  <si>
    <t>Water sample analyses</t>
  </si>
  <si>
    <t>carbonate chemistry (TA / DIC)</t>
  </si>
  <si>
    <t>Nutrients (nitrite ammonium, silicate, phosphate)</t>
  </si>
  <si>
    <t>methane</t>
  </si>
  <si>
    <t xml:space="preserve">Nitrous oxide, </t>
  </si>
  <si>
    <t>Nitrous oxide (N2O) may be important to measure with respect to algal decomposition</t>
  </si>
  <si>
    <t>G'Hoon Hong</t>
  </si>
  <si>
    <t>Sediment Samples</t>
  </si>
  <si>
    <t>faunal analyses</t>
  </si>
  <si>
    <t>microbial analysis</t>
  </si>
  <si>
    <t>sediment profiling</t>
  </si>
  <si>
    <t>Mixing/accumulation (U-Th isotopes)</t>
  </si>
  <si>
    <t>Estimation of sediment mixing and accumulation rate using various tracers (U-Th isotopes or others), and early diagenesis of organic carbon in the bottom sediment, porewater chemistry, etc., would require more than $100 per a core. If we assume a 40 cm core sample retrieved from the box corer, it will generate about 40 subsamples (1 cm interval slice), each slice would require a substantial effort.</t>
  </si>
  <si>
    <t>Sample Analysis Cost Summary</t>
  </si>
  <si>
    <t>Labor Costs</t>
  </si>
  <si>
    <t>Personnel</t>
  </si>
  <si>
    <t>Months/y</t>
  </si>
  <si>
    <t xml:space="preserve"># Personnel req. for Exp. </t>
  </si>
  <si>
    <t>Salary $ (yearly)</t>
  </si>
  <si>
    <t>Total Salary per year</t>
  </si>
  <si>
    <t>Principal Investigator</t>
  </si>
  <si>
    <t>`</t>
  </si>
  <si>
    <t>Postdoctoral researcher</t>
  </si>
  <si>
    <t>Research Assistants</t>
  </si>
  <si>
    <t>Students</t>
  </si>
  <si>
    <t>Engineering support</t>
  </si>
  <si>
    <t>Indirect cost rate</t>
  </si>
  <si>
    <t>Total Salaries /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</si>
</sst>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0.0"/>
    <numFmt numFmtId="165" formatCode="&quot;$&quot;#,##0.0"/>
    <numFmt numFmtId="166" formatCode="&quot;$&quot;#,##0"/>
    <numFmt numFmtId="167" formatCode="#,##0.0"/>
    <numFmt numFmtId="168" formatCode="&quot;$&quot;#,##0.0\K"/>
    <numFmt numFmtId="169" formatCode="&quot;$&quot;#,##0\K"/>
    <numFmt numFmtId="170" formatCode="&quot;$&quot;#,##0.00"/>
    <numFmt numFmtId="171" formatCode="&quot;$&quot;#,##0.00\K"/>
  </numFmts>
  <fonts count="29">
    <font>
      <sz val="11"/>
      <color theme="1"/>
      <name val="Calibri"/>
      <scheme val="minor"/>
    </font>
    <font>
      <sz val="11"/>
      <color theme="1"/>
      <name val="Calibri"/>
      <family val="2"/>
      <scheme val="minor"/>
    </font>
    <font>
      <sz val="11"/>
      <color theme="1"/>
      <name val="Calibri"/>
      <family val="2"/>
    </font>
    <font>
      <b/>
      <sz val="20"/>
      <color theme="1"/>
      <name val="Calibri"/>
      <family val="2"/>
    </font>
    <font>
      <b/>
      <sz val="14"/>
      <color theme="1"/>
      <name val="Calibri"/>
      <family val="2"/>
    </font>
    <font>
      <sz val="14"/>
      <color theme="1"/>
      <name val="Calibri"/>
      <family val="2"/>
    </font>
    <font>
      <sz val="12"/>
      <color theme="1"/>
      <name val="Calibri"/>
      <family val="2"/>
    </font>
    <font>
      <b/>
      <sz val="18"/>
      <color theme="1"/>
      <name val="Calibri"/>
      <family val="2"/>
    </font>
    <font>
      <b/>
      <sz val="16"/>
      <color theme="1"/>
      <name val="Calibri"/>
      <family val="2"/>
    </font>
    <font>
      <sz val="12"/>
      <color rgb="FF006100"/>
      <name val="Calibri"/>
      <family val="2"/>
    </font>
    <font>
      <b/>
      <i/>
      <sz val="12"/>
      <color theme="1"/>
      <name val="Calibri"/>
      <family val="2"/>
    </font>
    <font>
      <b/>
      <sz val="12"/>
      <color theme="1"/>
      <name val="Calibri"/>
      <family val="2"/>
    </font>
    <font>
      <b/>
      <i/>
      <sz val="14"/>
      <color theme="1"/>
      <name val="Calibri"/>
      <family val="2"/>
    </font>
    <font>
      <sz val="16"/>
      <color theme="1"/>
      <name val="Calibri"/>
      <family val="2"/>
    </font>
    <font>
      <sz val="11"/>
      <color theme="1"/>
      <name val="Calibri"/>
      <family val="2"/>
      <scheme val="minor"/>
    </font>
    <font>
      <b/>
      <sz val="11"/>
      <color theme="1"/>
      <name val="Calibri"/>
      <family val="2"/>
      <scheme val="minor"/>
    </font>
    <font>
      <sz val="9"/>
      <color indexed="81"/>
      <name val="Tahoma"/>
      <family val="2"/>
    </font>
    <font>
      <sz val="12"/>
      <color theme="1"/>
      <name val="Calibri"/>
      <family val="2"/>
      <scheme val="minor"/>
    </font>
    <font>
      <b/>
      <sz val="9"/>
      <color indexed="81"/>
      <name val="Tahoma"/>
      <family val="2"/>
    </font>
    <font>
      <sz val="10"/>
      <color theme="1"/>
      <name val="Arial"/>
      <family val="2"/>
    </font>
    <font>
      <b/>
      <sz val="14"/>
      <color theme="1"/>
      <name val="Calibri"/>
      <family val="2"/>
      <scheme val="minor"/>
    </font>
    <font>
      <sz val="12"/>
      <color rgb="FF3F3F76"/>
      <name val="Calibri"/>
      <family val="2"/>
    </font>
    <font>
      <sz val="18"/>
      <color theme="1"/>
      <name val="Calibri"/>
      <family val="2"/>
    </font>
    <font>
      <b/>
      <sz val="16"/>
      <color theme="1"/>
      <name val="Calibri"/>
      <family val="2"/>
      <scheme val="minor"/>
    </font>
    <font>
      <sz val="11"/>
      <color theme="1"/>
      <name val="Calibri"/>
      <family val="2"/>
      <scheme val="minor"/>
    </font>
    <font>
      <sz val="11"/>
      <color rgb="FF006100"/>
      <name val="Calibri"/>
      <family val="2"/>
      <scheme val="minor"/>
    </font>
    <font>
      <sz val="11"/>
      <color rgb="FF000000"/>
      <name val="Calibri"/>
      <family val="2"/>
      <scheme val="minor"/>
    </font>
    <font>
      <sz val="12"/>
      <color rgb="FF000000"/>
      <name val="Calibri"/>
      <family val="2"/>
      <scheme val="minor"/>
    </font>
    <font>
      <b/>
      <sz val="20"/>
      <color rgb="FF006100"/>
      <name val="Calibri"/>
      <family val="2"/>
      <scheme val="minor"/>
    </font>
  </fonts>
  <fills count="14">
    <fill>
      <patternFill patternType="none"/>
    </fill>
    <fill>
      <patternFill patternType="gray125"/>
    </fill>
    <fill>
      <patternFill patternType="solid">
        <fgColor rgb="FFFFFFCC"/>
        <bgColor rgb="FFFFFFCC"/>
      </patternFill>
    </fill>
    <fill>
      <patternFill patternType="solid">
        <fgColor rgb="FFCCFFFF"/>
        <bgColor rgb="FFCCFFFF"/>
      </patternFill>
    </fill>
    <fill>
      <patternFill patternType="solid">
        <fgColor rgb="FFFFCC99"/>
        <bgColor rgb="FFFFCC99"/>
      </patternFill>
    </fill>
    <fill>
      <patternFill patternType="solid">
        <fgColor rgb="FFC6EFCE"/>
        <bgColor rgb="FFC6EFCE"/>
      </patternFill>
    </fill>
    <fill>
      <patternFill patternType="solid">
        <fgColor rgb="FFFFFFCC"/>
        <bgColor indexed="64"/>
      </patternFill>
    </fill>
    <fill>
      <patternFill patternType="solid">
        <fgColor rgb="FFCCFFFF"/>
        <bgColor indexed="64"/>
      </patternFill>
    </fill>
    <fill>
      <patternFill patternType="solid">
        <fgColor rgb="FFE5FFFF"/>
        <bgColor rgb="FFCCFFFF"/>
      </patternFill>
    </fill>
    <fill>
      <patternFill patternType="solid">
        <fgColor rgb="FFE5FFFF"/>
        <bgColor indexed="64"/>
      </patternFill>
    </fill>
    <fill>
      <patternFill patternType="solid">
        <fgColor rgb="FFFFFFDD"/>
        <bgColor indexed="64"/>
      </patternFill>
    </fill>
    <fill>
      <patternFill patternType="solid">
        <fgColor rgb="FFFFFFDD"/>
        <bgColor rgb="FFFFFFCC"/>
      </patternFill>
    </fill>
    <fill>
      <patternFill patternType="solid">
        <fgColor rgb="FFC6EFCE"/>
      </patternFill>
    </fill>
    <fill>
      <patternFill patternType="solid">
        <fgColor rgb="FFE5FFFF"/>
        <bgColor rgb="FFFFFFCC"/>
      </patternFill>
    </fill>
  </fills>
  <borders count="64">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bottom style="thin">
        <color rgb="FF000000"/>
      </bottom>
      <diagonal/>
    </border>
    <border>
      <left style="medium">
        <color indexed="64"/>
      </left>
      <right style="thin">
        <color rgb="FF000000"/>
      </right>
      <top/>
      <bottom style="thin">
        <color rgb="FF000000"/>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000000"/>
      </left>
      <right style="thin">
        <color rgb="FF000000"/>
      </right>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style="thin">
        <color indexed="64"/>
      </top>
      <bottom style="thin">
        <color indexed="64"/>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indexed="64"/>
      </right>
      <top/>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style="thin">
        <color rgb="FF000000"/>
      </right>
      <top/>
      <bottom/>
      <diagonal/>
    </border>
    <border>
      <left style="thin">
        <color rgb="FF000000"/>
      </left>
      <right style="medium">
        <color rgb="FF000000"/>
      </right>
      <top/>
      <bottom/>
      <diagonal/>
    </border>
  </borders>
  <cellStyleXfs count="4">
    <xf numFmtId="0" fontId="0" fillId="0" borderId="0"/>
    <xf numFmtId="43" fontId="14" fillId="0" borderId="0" applyFont="0" applyFill="0" applyBorder="0" applyAlignment="0" applyProtection="0"/>
    <xf numFmtId="44" fontId="24" fillId="0" borderId="0" applyFont="0" applyFill="0" applyBorder="0" applyAlignment="0" applyProtection="0"/>
    <xf numFmtId="0" fontId="25" fillId="12" borderId="0" applyNumberFormat="0" applyBorder="0" applyAlignment="0" applyProtection="0"/>
  </cellStyleXfs>
  <cellXfs count="327">
    <xf numFmtId="0" fontId="0" fillId="0" borderId="0" xfId="0"/>
    <xf numFmtId="0" fontId="2"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wrapText="1"/>
    </xf>
    <xf numFmtId="0" fontId="2" fillId="0" borderId="0" xfId="0" applyFont="1" applyAlignment="1">
      <alignment horizontal="center"/>
    </xf>
    <xf numFmtId="0" fontId="2" fillId="2" borderId="1" xfId="0" applyFont="1" applyFill="1" applyBorder="1"/>
    <xf numFmtId="0" fontId="4" fillId="0" borderId="3" xfId="0" applyFont="1" applyBorder="1" applyAlignment="1">
      <alignment horizontal="center" vertical="center" wrapText="1"/>
    </xf>
    <xf numFmtId="0" fontId="4" fillId="3"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7" fillId="0" borderId="2" xfId="0" applyFont="1" applyBorder="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1" xfId="0" applyFont="1" applyBorder="1" applyAlignment="1">
      <alignment vertical="center"/>
    </xf>
    <xf numFmtId="0" fontId="6" fillId="0" borderId="6" xfId="0" applyFont="1" applyBorder="1" applyAlignment="1">
      <alignment vertical="center" wrapText="1"/>
    </xf>
    <xf numFmtId="0" fontId="6" fillId="0" borderId="1" xfId="0" applyFont="1" applyBorder="1"/>
    <xf numFmtId="0" fontId="6" fillId="0" borderId="1" xfId="0" applyFont="1" applyBorder="1" applyAlignment="1">
      <alignment horizontal="center" vertical="center"/>
    </xf>
    <xf numFmtId="0" fontId="6" fillId="0" borderId="1" xfId="0" applyFont="1" applyBorder="1" applyAlignment="1">
      <alignment wrapText="1"/>
    </xf>
    <xf numFmtId="0" fontId="2" fillId="0" borderId="0" xfId="0" applyFont="1" applyAlignment="1">
      <alignment vertical="center"/>
    </xf>
    <xf numFmtId="0" fontId="2" fillId="0" borderId="3" xfId="0" applyFont="1" applyBorder="1" applyAlignment="1">
      <alignment wrapText="1"/>
    </xf>
    <xf numFmtId="0" fontId="13" fillId="0" borderId="9" xfId="0" applyFont="1" applyBorder="1" applyAlignment="1">
      <alignment horizontal="center" vertical="center" wrapText="1"/>
    </xf>
    <xf numFmtId="0" fontId="2" fillId="0" borderId="0" xfId="0" applyFont="1" applyAlignment="1">
      <alignment horizontal="center" vertical="center"/>
    </xf>
    <xf numFmtId="0" fontId="8" fillId="0" borderId="0" xfId="0" applyFont="1"/>
    <xf numFmtId="0" fontId="8" fillId="0" borderId="0" xfId="0" applyFont="1" applyAlignment="1">
      <alignment horizontal="left" vertical="center" wrapText="1"/>
    </xf>
    <xf numFmtId="0" fontId="7" fillId="0" borderId="0" xfId="0" applyFont="1"/>
    <xf numFmtId="0" fontId="11" fillId="0" borderId="0" xfId="0" applyFont="1"/>
    <xf numFmtId="0" fontId="12" fillId="0" borderId="0" xfId="0" applyFont="1" applyAlignment="1">
      <alignment horizontal="left" vertical="center"/>
    </xf>
    <xf numFmtId="0" fontId="8"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wrapText="1"/>
    </xf>
    <xf numFmtId="1" fontId="8" fillId="0" borderId="9" xfId="0" applyNumberFormat="1" applyFont="1" applyBorder="1" applyAlignment="1">
      <alignment horizontal="left" vertical="center" wrapText="1"/>
    </xf>
    <xf numFmtId="0" fontId="6" fillId="0" borderId="16" xfId="0" applyFont="1" applyBorder="1" applyAlignment="1">
      <alignment horizontal="left" vertical="center" wrapText="1"/>
    </xf>
    <xf numFmtId="0" fontId="7" fillId="0" borderId="17" xfId="0" applyFont="1" applyBorder="1" applyAlignment="1">
      <alignment horizontal="left" vertical="center"/>
    </xf>
    <xf numFmtId="0" fontId="2" fillId="0" borderId="18" xfId="0" applyFont="1" applyBorder="1" applyAlignment="1">
      <alignment horizontal="center" vertical="center"/>
    </xf>
    <xf numFmtId="0" fontId="0" fillId="0" borderId="19" xfId="0" applyBorder="1"/>
    <xf numFmtId="0" fontId="2" fillId="0" borderId="20" xfId="0" applyFont="1" applyBorder="1" applyAlignment="1">
      <alignment horizontal="left" vertical="center"/>
    </xf>
    <xf numFmtId="0" fontId="2" fillId="0" borderId="22" xfId="0" applyFont="1" applyBorder="1" applyAlignment="1">
      <alignment horizontal="left" vertical="center"/>
    </xf>
    <xf numFmtId="0" fontId="6" fillId="0" borderId="23" xfId="0" applyFont="1" applyBorder="1" applyAlignment="1">
      <alignment horizontal="left" vertical="center" wrapText="1"/>
    </xf>
    <xf numFmtId="166" fontId="4" fillId="0" borderId="4" xfId="0" applyNumberFormat="1" applyFont="1" applyBorder="1" applyAlignment="1">
      <alignment horizontal="center" vertical="center" wrapText="1"/>
    </xf>
    <xf numFmtId="166" fontId="0" fillId="0" borderId="0" xfId="0" applyNumberFormat="1" applyAlignment="1">
      <alignment horizontal="center" vertical="center"/>
    </xf>
    <xf numFmtId="165" fontId="0" fillId="0" borderId="0" xfId="0" applyNumberFormat="1" applyAlignment="1">
      <alignment horizontal="center" vertical="center"/>
    </xf>
    <xf numFmtId="166" fontId="4" fillId="0" borderId="3" xfId="0" applyNumberFormat="1" applyFont="1" applyBorder="1" applyAlignment="1">
      <alignment horizontal="center" vertical="center" wrapText="1"/>
    </xf>
    <xf numFmtId="0" fontId="13" fillId="0" borderId="23" xfId="0" applyFont="1" applyBorder="1" applyAlignment="1">
      <alignment horizontal="center" vertical="center" wrapText="1"/>
    </xf>
    <xf numFmtId="0" fontId="6" fillId="0" borderId="16" xfId="0" applyFont="1" applyBorder="1" applyAlignment="1">
      <alignment vertical="center" wrapText="1"/>
    </xf>
    <xf numFmtId="0" fontId="2" fillId="0" borderId="17" xfId="0" applyFont="1" applyBorder="1"/>
    <xf numFmtId="0" fontId="8" fillId="0" borderId="18" xfId="0" applyFont="1" applyBorder="1" applyAlignment="1">
      <alignment horizontal="left" vertical="center"/>
    </xf>
    <xf numFmtId="0" fontId="6" fillId="0" borderId="20"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vertical="center" wrapText="1"/>
    </xf>
    <xf numFmtId="0" fontId="6" fillId="0" borderId="28" xfId="0" applyFont="1" applyBorder="1" applyAlignment="1">
      <alignment vertical="center" wrapText="1"/>
    </xf>
    <xf numFmtId="0" fontId="15" fillId="0" borderId="0" xfId="0" applyFont="1"/>
    <xf numFmtId="0" fontId="20" fillId="0" borderId="0" xfId="0" applyFont="1"/>
    <xf numFmtId="0" fontId="0" fillId="0" borderId="0" xfId="0" applyAlignment="1">
      <alignment horizontal="left" vertical="center"/>
    </xf>
    <xf numFmtId="0" fontId="3" fillId="0" borderId="33" xfId="0" applyFont="1" applyBorder="1" applyAlignment="1">
      <alignment horizontal="left" vertical="center" wrapText="1"/>
    </xf>
    <xf numFmtId="0" fontId="6" fillId="0" borderId="6" xfId="0" applyFont="1" applyBorder="1" applyAlignment="1">
      <alignment wrapText="1"/>
    </xf>
    <xf numFmtId="0" fontId="2" fillId="0" borderId="8" xfId="0" applyFont="1" applyBorder="1" applyAlignment="1">
      <alignment wrapText="1"/>
    </xf>
    <xf numFmtId="0" fontId="5" fillId="0" borderId="16" xfId="0" applyFont="1" applyBorder="1" applyAlignment="1">
      <alignment vertical="center" wrapText="1"/>
    </xf>
    <xf numFmtId="0" fontId="17" fillId="0" borderId="21" xfId="0" applyFont="1" applyBorder="1" applyAlignment="1">
      <alignment horizontal="left" vertical="center" wrapText="1"/>
    </xf>
    <xf numFmtId="0" fontId="5" fillId="0" borderId="16"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3" xfId="0" applyFont="1" applyBorder="1" applyAlignment="1">
      <alignment horizontal="center" vertical="center" wrapText="1"/>
    </xf>
    <xf numFmtId="0" fontId="17" fillId="0" borderId="24" xfId="0" applyFont="1" applyBorder="1" applyAlignment="1">
      <alignment horizontal="left" vertical="center" wrapText="1"/>
    </xf>
    <xf numFmtId="0" fontId="22" fillId="0" borderId="18" xfId="0" applyFont="1" applyBorder="1" applyAlignment="1">
      <alignment wrapText="1"/>
    </xf>
    <xf numFmtId="0" fontId="6" fillId="0" borderId="20" xfId="0" applyFont="1" applyBorder="1" applyAlignment="1">
      <alignment horizontal="left" vertical="center"/>
    </xf>
    <xf numFmtId="0" fontId="6" fillId="0" borderId="13" xfId="0" applyFont="1" applyBorder="1" applyAlignment="1">
      <alignment horizontal="left" vertical="center" wrapText="1"/>
    </xf>
    <xf numFmtId="0" fontId="12" fillId="0" borderId="16" xfId="0" applyFont="1" applyBorder="1" applyAlignment="1">
      <alignment horizontal="left" vertical="center" wrapText="1"/>
    </xf>
    <xf numFmtId="0" fontId="20" fillId="0" borderId="16" xfId="0" applyFont="1" applyBorder="1" applyAlignment="1">
      <alignment vertical="center" wrapText="1"/>
    </xf>
    <xf numFmtId="0" fontId="12" fillId="0" borderId="16" xfId="0" applyFont="1" applyBorder="1" applyAlignment="1">
      <alignment vertical="center" wrapText="1"/>
    </xf>
    <xf numFmtId="0" fontId="6" fillId="0" borderId="16" xfId="0" applyFont="1" applyBorder="1" applyAlignment="1">
      <alignment horizontal="left" vertical="center"/>
    </xf>
    <xf numFmtId="0" fontId="2" fillId="0" borderId="18" xfId="0" applyFont="1" applyBorder="1"/>
    <xf numFmtId="0" fontId="10" fillId="0" borderId="20" xfId="0" applyFont="1" applyBorder="1" applyAlignment="1">
      <alignment horizontal="left" vertical="center" wrapText="1"/>
    </xf>
    <xf numFmtId="0" fontId="0" fillId="0" borderId="21" xfId="0" applyBorder="1"/>
    <xf numFmtId="0" fontId="7" fillId="0" borderId="30" xfId="0" applyFont="1" applyBorder="1" applyAlignment="1">
      <alignment horizontal="left"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13" fillId="0" borderId="9" xfId="0" applyFont="1" applyBorder="1" applyAlignment="1">
      <alignment wrapText="1"/>
    </xf>
    <xf numFmtId="0" fontId="4" fillId="0" borderId="1" xfId="0" applyFont="1" applyBorder="1" applyAlignment="1">
      <alignment horizontal="center" vertical="center"/>
    </xf>
    <xf numFmtId="3" fontId="9" fillId="5" borderId="16" xfId="0" applyNumberFormat="1" applyFont="1" applyFill="1" applyBorder="1" applyAlignment="1">
      <alignment horizontal="center" vertical="center" wrapText="1"/>
    </xf>
    <xf numFmtId="167" fontId="21" fillId="4" borderId="16" xfId="0" applyNumberFormat="1" applyFont="1" applyFill="1" applyBorder="1" applyAlignment="1">
      <alignment horizontal="center" vertical="center" wrapText="1"/>
    </xf>
    <xf numFmtId="169" fontId="6" fillId="0" borderId="1" xfId="0" applyNumberFormat="1" applyFont="1" applyBorder="1" applyAlignment="1">
      <alignment horizontal="center" vertical="center" wrapText="1"/>
    </xf>
    <xf numFmtId="169" fontId="6" fillId="0" borderId="7" xfId="0" applyNumberFormat="1" applyFont="1" applyBorder="1" applyAlignment="1">
      <alignment horizontal="center" vertical="center" wrapText="1"/>
    </xf>
    <xf numFmtId="169" fontId="13" fillId="0" borderId="1" xfId="0" applyNumberFormat="1" applyFont="1" applyBorder="1" applyAlignment="1">
      <alignment horizontal="center" vertical="center" wrapText="1"/>
    </xf>
    <xf numFmtId="169" fontId="13" fillId="0" borderId="1" xfId="0" applyNumberFormat="1" applyFont="1" applyBorder="1" applyAlignment="1">
      <alignment horizontal="left" vertical="center"/>
    </xf>
    <xf numFmtId="169" fontId="13" fillId="0" borderId="1" xfId="0" applyNumberFormat="1" applyFont="1" applyBorder="1" applyAlignment="1">
      <alignment wrapText="1"/>
    </xf>
    <xf numFmtId="169" fontId="13" fillId="0" borderId="1" xfId="0" applyNumberFormat="1" applyFont="1" applyBorder="1"/>
    <xf numFmtId="169" fontId="13" fillId="0" borderId="1" xfId="0" applyNumberFormat="1" applyFont="1" applyBorder="1" applyAlignment="1">
      <alignment vertical="center"/>
    </xf>
    <xf numFmtId="169" fontId="13" fillId="0" borderId="1" xfId="0" applyNumberFormat="1" applyFont="1" applyBorder="1" applyAlignment="1">
      <alignment horizontal="center" vertical="center"/>
    </xf>
    <xf numFmtId="0" fontId="23" fillId="0" borderId="0" xfId="0" applyFont="1"/>
    <xf numFmtId="0" fontId="20" fillId="0" borderId="16" xfId="0" applyFont="1" applyBorder="1" applyAlignment="1">
      <alignment horizontal="center" vertical="center" wrapText="1"/>
    </xf>
    <xf numFmtId="0" fontId="2" fillId="0" borderId="16" xfId="0" applyFont="1" applyBorder="1"/>
    <xf numFmtId="0" fontId="2" fillId="0" borderId="16" xfId="0" applyFont="1" applyBorder="1" applyAlignment="1">
      <alignment horizontal="center" vertical="center" wrapText="1"/>
    </xf>
    <xf numFmtId="0" fontId="4" fillId="0" borderId="16" xfId="0" applyFont="1" applyBorder="1" applyAlignment="1">
      <alignment horizontal="center" vertical="center" wrapText="1"/>
    </xf>
    <xf numFmtId="166" fontId="4" fillId="0" borderId="16" xfId="0" applyNumberFormat="1" applyFont="1" applyBorder="1" applyAlignment="1">
      <alignment horizontal="center" vertical="center" wrapText="1"/>
    </xf>
    <xf numFmtId="0" fontId="6" fillId="0" borderId="16" xfId="0" applyFont="1" applyBorder="1" applyAlignment="1">
      <alignment horizontal="center" vertical="center"/>
    </xf>
    <xf numFmtId="0" fontId="6" fillId="0" borderId="16" xfId="0" applyFont="1" applyBorder="1"/>
    <xf numFmtId="166" fontId="6" fillId="0" borderId="16" xfId="0" applyNumberFormat="1" applyFont="1" applyBorder="1" applyAlignment="1">
      <alignment horizontal="center" vertical="center" wrapText="1"/>
    </xf>
    <xf numFmtId="166" fontId="6" fillId="0" borderId="16" xfId="0" applyNumberFormat="1" applyFont="1" applyBorder="1" applyAlignment="1">
      <alignment horizontal="center" vertical="center"/>
    </xf>
    <xf numFmtId="0" fontId="5" fillId="0" borderId="16" xfId="0" applyFont="1" applyBorder="1"/>
    <xf numFmtId="166" fontId="2" fillId="0" borderId="16" xfId="0" applyNumberFormat="1" applyFont="1" applyBorder="1" applyAlignment="1">
      <alignment horizontal="center" vertical="center"/>
    </xf>
    <xf numFmtId="169" fontId="6" fillId="0" borderId="16" xfId="0" applyNumberFormat="1" applyFont="1" applyBorder="1" applyAlignment="1">
      <alignment horizontal="center" vertical="center" wrapText="1"/>
    </xf>
    <xf numFmtId="169" fontId="6" fillId="0" borderId="16" xfId="0" applyNumberFormat="1" applyFont="1" applyBorder="1" applyAlignment="1">
      <alignment horizontal="center" vertical="center"/>
    </xf>
    <xf numFmtId="169" fontId="4" fillId="0" borderId="16" xfId="0" applyNumberFormat="1" applyFont="1" applyBorder="1" applyAlignment="1">
      <alignment horizontal="center" vertical="center" wrapText="1"/>
    </xf>
    <xf numFmtId="169" fontId="5" fillId="0" borderId="16" xfId="0" applyNumberFormat="1" applyFont="1" applyBorder="1" applyAlignment="1">
      <alignment horizontal="center" vertical="center"/>
    </xf>
    <xf numFmtId="169" fontId="2" fillId="0" borderId="16" xfId="0" applyNumberFormat="1" applyFont="1" applyBorder="1" applyAlignment="1">
      <alignment horizontal="center" vertical="center" wrapText="1"/>
    </xf>
    <xf numFmtId="0" fontId="7" fillId="0" borderId="18" xfId="0" applyFont="1" applyBorder="1" applyAlignment="1">
      <alignment horizontal="left" vertical="center"/>
    </xf>
    <xf numFmtId="0" fontId="2" fillId="0" borderId="18" xfId="0" applyFont="1" applyBorder="1" applyAlignment="1">
      <alignment horizontal="center" vertical="center" wrapText="1"/>
    </xf>
    <xf numFmtId="0" fontId="12" fillId="0" borderId="20" xfId="0" applyFont="1" applyBorder="1" applyAlignment="1">
      <alignment horizontal="left" vertical="center"/>
    </xf>
    <xf numFmtId="0" fontId="6" fillId="0" borderId="20" xfId="0" applyFont="1" applyBorder="1" applyAlignment="1">
      <alignment horizontal="center" vertical="center" wrapText="1"/>
    </xf>
    <xf numFmtId="0" fontId="2" fillId="0" borderId="20" xfId="0" applyFont="1" applyBorder="1" applyAlignment="1">
      <alignment horizontal="center" vertical="center" wrapText="1"/>
    </xf>
    <xf numFmtId="0" fontId="13" fillId="0" borderId="23" xfId="0" applyFont="1" applyBorder="1"/>
    <xf numFmtId="0" fontId="8" fillId="0" borderId="23" xfId="0" applyFont="1" applyBorder="1" applyAlignment="1">
      <alignment horizontal="center" vertical="center" wrapText="1"/>
    </xf>
    <xf numFmtId="0" fontId="0" fillId="0" borderId="24" xfId="0" applyBorder="1"/>
    <xf numFmtId="0" fontId="23" fillId="0" borderId="21" xfId="0" applyFont="1" applyBorder="1" applyAlignment="1">
      <alignment horizontal="left" vertical="center"/>
    </xf>
    <xf numFmtId="0" fontId="7" fillId="0" borderId="25" xfId="0" applyFont="1" applyBorder="1" applyAlignment="1">
      <alignment horizontal="center" vertical="center" wrapText="1"/>
    </xf>
    <xf numFmtId="0" fontId="7" fillId="0" borderId="25" xfId="0" applyFont="1" applyBorder="1" applyAlignment="1">
      <alignment horizontal="center" vertical="center"/>
    </xf>
    <xf numFmtId="0" fontId="22" fillId="0" borderId="25" xfId="0" applyFont="1" applyBorder="1" applyAlignment="1">
      <alignment horizontal="center" vertical="center" wrapText="1"/>
    </xf>
    <xf numFmtId="0" fontId="4" fillId="3" borderId="0" xfId="0" applyFont="1" applyFill="1" applyAlignment="1">
      <alignment horizontal="center" vertical="center" wrapText="1"/>
    </xf>
    <xf numFmtId="0" fontId="4" fillId="2" borderId="0" xfId="0" applyFont="1" applyFill="1" applyAlignment="1">
      <alignment horizontal="center" vertical="center" wrapText="1"/>
    </xf>
    <xf numFmtId="0" fontId="7" fillId="0" borderId="11" xfId="0" applyFont="1" applyBorder="1" applyAlignment="1">
      <alignment vertical="center"/>
    </xf>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0" fontId="22" fillId="0" borderId="1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26" xfId="0" applyFont="1" applyBorder="1" applyAlignment="1">
      <alignment vertical="center"/>
    </xf>
    <xf numFmtId="0" fontId="7" fillId="0" borderId="36" xfId="0" applyFont="1" applyBorder="1" applyAlignment="1">
      <alignment horizontal="center" vertical="center" wrapText="1"/>
    </xf>
    <xf numFmtId="0" fontId="6" fillId="0" borderId="13" xfId="0" applyFont="1" applyBorder="1" applyAlignment="1">
      <alignment horizontal="left" vertical="center"/>
    </xf>
    <xf numFmtId="0" fontId="4" fillId="0" borderId="13" xfId="0" applyFont="1" applyBorder="1" applyAlignment="1">
      <alignment horizontal="left" vertical="center" wrapText="1"/>
    </xf>
    <xf numFmtId="0" fontId="6" fillId="0" borderId="13" xfId="0" applyFont="1" applyBorder="1" applyAlignment="1">
      <alignment vertical="center"/>
    </xf>
    <xf numFmtId="0" fontId="4" fillId="0" borderId="13" xfId="0" applyFont="1" applyBorder="1" applyAlignment="1">
      <alignment vertical="center"/>
    </xf>
    <xf numFmtId="0" fontId="6" fillId="0" borderId="13" xfId="0" applyFont="1" applyBorder="1" applyAlignment="1">
      <alignment vertical="center" wrapText="1"/>
    </xf>
    <xf numFmtId="0" fontId="6" fillId="0" borderId="13" xfId="0" applyFont="1" applyBorder="1"/>
    <xf numFmtId="0" fontId="6" fillId="0" borderId="35" xfId="0" applyFont="1" applyBorder="1"/>
    <xf numFmtId="0" fontId="4" fillId="0" borderId="13" xfId="0" applyFont="1" applyBorder="1"/>
    <xf numFmtId="0" fontId="8" fillId="0" borderId="13" xfId="0" applyFont="1" applyBorder="1" applyAlignment="1">
      <alignment vertical="center"/>
    </xf>
    <xf numFmtId="0" fontId="13" fillId="0" borderId="13" xfId="0" applyFont="1" applyBorder="1"/>
    <xf numFmtId="169" fontId="13" fillId="0" borderId="35" xfId="0" applyNumberFormat="1" applyFont="1" applyBorder="1"/>
    <xf numFmtId="0" fontId="8" fillId="0" borderId="13" xfId="0" applyFont="1" applyBorder="1" applyAlignment="1">
      <alignment horizontal="left" vertical="center" wrapText="1"/>
    </xf>
    <xf numFmtId="169" fontId="13" fillId="0" borderId="15" xfId="0" applyNumberFormat="1" applyFont="1" applyBorder="1" applyAlignment="1">
      <alignment horizontal="center" vertical="center" wrapText="1"/>
    </xf>
    <xf numFmtId="1" fontId="4" fillId="0" borderId="1" xfId="0" applyNumberFormat="1" applyFont="1" applyBorder="1" applyAlignment="1">
      <alignment horizontal="center" vertical="center"/>
    </xf>
    <xf numFmtId="0" fontId="6" fillId="0" borderId="17" xfId="0" applyFont="1" applyBorder="1" applyAlignment="1">
      <alignment horizontal="left" vertical="center" wrapText="1"/>
    </xf>
    <xf numFmtId="0" fontId="2" fillId="0" borderId="18" xfId="0" applyFont="1" applyBorder="1" applyAlignment="1">
      <alignment wrapText="1"/>
    </xf>
    <xf numFmtId="0" fontId="0" fillId="0" borderId="19" xfId="0" applyBorder="1" applyAlignment="1">
      <alignment wrapText="1"/>
    </xf>
    <xf numFmtId="0" fontId="20" fillId="0" borderId="21" xfId="0" applyFont="1" applyBorder="1" applyAlignment="1">
      <alignment wrapText="1"/>
    </xf>
    <xf numFmtId="0" fontId="0" fillId="0" borderId="21" xfId="0" applyBorder="1" applyAlignment="1">
      <alignment wrapText="1"/>
    </xf>
    <xf numFmtId="0" fontId="0" fillId="0" borderId="21" xfId="0" applyBorder="1" applyAlignment="1">
      <alignment vertical="center" wrapText="1"/>
    </xf>
    <xf numFmtId="0" fontId="17" fillId="0" borderId="24" xfId="0" applyFont="1" applyBorder="1" applyAlignment="1">
      <alignment vertical="center" wrapText="1"/>
    </xf>
    <xf numFmtId="0" fontId="0" fillId="0" borderId="19" xfId="0" applyBorder="1" applyAlignment="1">
      <alignment horizontal="center" vertical="center" wrapText="1"/>
    </xf>
    <xf numFmtId="0" fontId="20" fillId="0" borderId="16" xfId="0" applyFont="1" applyBorder="1" applyAlignment="1">
      <alignment vertical="center"/>
    </xf>
    <xf numFmtId="0" fontId="6" fillId="0" borderId="16" xfId="0" applyFont="1" applyBorder="1" applyAlignment="1">
      <alignment vertical="center"/>
    </xf>
    <xf numFmtId="0" fontId="4" fillId="0" borderId="22" xfId="0" applyFont="1" applyBorder="1" applyAlignment="1">
      <alignment horizontal="left" vertical="center" wrapText="1"/>
    </xf>
    <xf numFmtId="0" fontId="20" fillId="0" borderId="24" xfId="0" applyFont="1" applyBorder="1" applyAlignment="1">
      <alignment horizontal="center" vertical="center"/>
    </xf>
    <xf numFmtId="3" fontId="6" fillId="8" borderId="1" xfId="1" applyNumberFormat="1" applyFont="1" applyFill="1" applyBorder="1" applyAlignment="1">
      <alignment horizontal="center" vertical="center"/>
    </xf>
    <xf numFmtId="169" fontId="6" fillId="8" borderId="1" xfId="1" applyNumberFormat="1" applyFont="1" applyFill="1" applyBorder="1" applyAlignment="1">
      <alignment horizontal="center" vertical="center"/>
    </xf>
    <xf numFmtId="169" fontId="6" fillId="8" borderId="1" xfId="0" applyNumberFormat="1" applyFont="1" applyFill="1" applyBorder="1" applyAlignment="1">
      <alignment horizontal="center" vertical="center"/>
    </xf>
    <xf numFmtId="3" fontId="6" fillId="8" borderId="35" xfId="0" applyNumberFormat="1" applyFont="1" applyFill="1" applyBorder="1" applyAlignment="1">
      <alignment horizontal="center" vertical="center"/>
    </xf>
    <xf numFmtId="169" fontId="6" fillId="8" borderId="35" xfId="0" applyNumberFormat="1" applyFont="1" applyFill="1" applyBorder="1" applyAlignment="1">
      <alignment horizontal="center" vertical="center"/>
    </xf>
    <xf numFmtId="0" fontId="4" fillId="9" borderId="1" xfId="0" applyFont="1" applyFill="1" applyBorder="1" applyAlignment="1">
      <alignment horizontal="center" vertical="center"/>
    </xf>
    <xf numFmtId="164" fontId="4" fillId="8" borderId="35" xfId="0" applyNumberFormat="1" applyFont="1" applyFill="1" applyBorder="1" applyAlignment="1">
      <alignment horizontal="center" vertical="center"/>
    </xf>
    <xf numFmtId="1" fontId="6" fillId="8" borderId="1" xfId="0" applyNumberFormat="1" applyFont="1" applyFill="1" applyBorder="1" applyAlignment="1">
      <alignment horizontal="center" vertical="center"/>
    </xf>
    <xf numFmtId="0" fontId="4" fillId="8" borderId="1" xfId="0" applyFont="1" applyFill="1" applyBorder="1" applyAlignment="1">
      <alignment horizontal="center" vertical="center" wrapText="1"/>
    </xf>
    <xf numFmtId="164" fontId="6" fillId="8" borderId="35" xfId="0" applyNumberFormat="1" applyFont="1" applyFill="1" applyBorder="1" applyAlignment="1">
      <alignment horizontal="center" vertical="center"/>
    </xf>
    <xf numFmtId="164" fontId="6" fillId="8" borderId="1" xfId="0" applyNumberFormat="1" applyFont="1" applyFill="1" applyBorder="1" applyAlignment="1">
      <alignment horizontal="center" vertical="center"/>
    </xf>
    <xf numFmtId="1" fontId="4" fillId="8" borderId="1" xfId="0" applyNumberFormat="1" applyFont="1" applyFill="1" applyBorder="1" applyAlignment="1">
      <alignment horizontal="center" vertical="center"/>
    </xf>
    <xf numFmtId="169" fontId="8" fillId="8" borderId="1" xfId="0" applyNumberFormat="1" applyFont="1" applyFill="1" applyBorder="1" applyAlignment="1">
      <alignment horizontal="center" vertical="center"/>
    </xf>
    <xf numFmtId="169" fontId="8" fillId="8" borderId="1" xfId="0" applyNumberFormat="1" applyFont="1" applyFill="1" applyBorder="1" applyAlignment="1">
      <alignment horizontal="center" vertical="center" wrapText="1"/>
    </xf>
    <xf numFmtId="169" fontId="8" fillId="8" borderId="15" xfId="0" applyNumberFormat="1" applyFont="1" applyFill="1" applyBorder="1" applyAlignment="1">
      <alignment horizontal="center" vertical="center" wrapText="1"/>
    </xf>
    <xf numFmtId="169" fontId="8" fillId="8" borderId="37" xfId="0" applyNumberFormat="1" applyFont="1" applyFill="1" applyBorder="1" applyAlignment="1">
      <alignment horizontal="center" vertical="center"/>
    </xf>
    <xf numFmtId="169" fontId="8" fillId="8" borderId="35" xfId="0" applyNumberFormat="1" applyFont="1" applyFill="1" applyBorder="1" applyAlignment="1">
      <alignment horizontal="center" vertical="center"/>
    </xf>
    <xf numFmtId="1" fontId="4" fillId="8" borderId="35" xfId="0" applyNumberFormat="1" applyFont="1" applyFill="1" applyBorder="1" applyAlignment="1">
      <alignment horizontal="center" vertical="center"/>
    </xf>
    <xf numFmtId="0" fontId="0" fillId="9" borderId="0" xfId="0" applyFill="1"/>
    <xf numFmtId="1" fontId="0" fillId="9" borderId="18" xfId="0" applyNumberFormat="1" applyFill="1" applyBorder="1" applyAlignment="1">
      <alignment horizontal="center" vertical="center"/>
    </xf>
    <xf numFmtId="3" fontId="6" fillId="8" borderId="28" xfId="0" applyNumberFormat="1" applyFont="1" applyFill="1" applyBorder="1" applyAlignment="1">
      <alignment horizontal="center" vertical="center" wrapText="1"/>
    </xf>
    <xf numFmtId="3" fontId="6" fillId="8" borderId="16" xfId="0" applyNumberFormat="1" applyFont="1" applyFill="1" applyBorder="1" applyAlignment="1">
      <alignment horizontal="center" vertical="center" wrapText="1"/>
    </xf>
    <xf numFmtId="169" fontId="6" fillId="8" borderId="16" xfId="0" applyNumberFormat="1" applyFont="1" applyFill="1" applyBorder="1" applyAlignment="1">
      <alignment horizontal="center" vertical="center"/>
    </xf>
    <xf numFmtId="169" fontId="8" fillId="9" borderId="23" xfId="0" applyNumberFormat="1" applyFont="1" applyFill="1" applyBorder="1" applyAlignment="1">
      <alignment horizontal="center" vertical="center" wrapText="1"/>
    </xf>
    <xf numFmtId="0" fontId="6" fillId="8" borderId="16" xfId="0" applyFont="1" applyFill="1" applyBorder="1" applyAlignment="1">
      <alignment horizontal="center" vertical="center" wrapText="1"/>
    </xf>
    <xf numFmtId="169" fontId="6" fillId="8" borderId="7" xfId="0" applyNumberFormat="1" applyFont="1" applyFill="1" applyBorder="1" applyAlignment="1">
      <alignment horizontal="center" vertical="center" wrapText="1"/>
    </xf>
    <xf numFmtId="169" fontId="8" fillId="8" borderId="10" xfId="0" applyNumberFormat="1" applyFont="1" applyFill="1" applyBorder="1" applyAlignment="1">
      <alignment horizontal="center" vertical="center" wrapText="1"/>
    </xf>
    <xf numFmtId="0" fontId="15" fillId="0" borderId="16" xfId="0" applyFont="1" applyBorder="1" applyAlignment="1">
      <alignment horizontal="left" wrapText="1"/>
    </xf>
    <xf numFmtId="0" fontId="15" fillId="9" borderId="16" xfId="0" applyFont="1" applyFill="1" applyBorder="1" applyAlignment="1">
      <alignment horizontal="left" vertical="center" wrapText="1"/>
    </xf>
    <xf numFmtId="0" fontId="15" fillId="10" borderId="16" xfId="0" applyFont="1" applyFill="1" applyBorder="1" applyAlignment="1">
      <alignment horizontal="left" vertical="center" wrapText="1"/>
    </xf>
    <xf numFmtId="3" fontId="6" fillId="11" borderId="16" xfId="0" applyNumberFormat="1" applyFont="1" applyFill="1" applyBorder="1" applyAlignment="1">
      <alignment horizontal="center" vertical="center" wrapText="1"/>
    </xf>
    <xf numFmtId="3" fontId="6" fillId="11" borderId="23" xfId="0" applyNumberFormat="1" applyFont="1" applyFill="1" applyBorder="1" applyAlignment="1">
      <alignment horizontal="center" vertical="center" wrapText="1"/>
    </xf>
    <xf numFmtId="168" fontId="6" fillId="11" borderId="16" xfId="0" applyNumberFormat="1" applyFont="1" applyFill="1" applyBorder="1" applyAlignment="1">
      <alignment horizontal="center" vertical="center" wrapText="1"/>
    </xf>
    <xf numFmtId="0" fontId="6" fillId="11" borderId="16" xfId="0" applyFont="1" applyFill="1" applyBorder="1" applyAlignment="1">
      <alignment horizontal="center" vertical="center" wrapText="1"/>
    </xf>
    <xf numFmtId="169" fontId="6" fillId="11" borderId="16" xfId="0" applyNumberFormat="1" applyFont="1" applyFill="1" applyBorder="1" applyAlignment="1">
      <alignment horizontal="center" vertical="center" wrapText="1"/>
    </xf>
    <xf numFmtId="0" fontId="6" fillId="10" borderId="16" xfId="0" applyFont="1" applyFill="1" applyBorder="1" applyAlignment="1">
      <alignment horizontal="center" vertical="center" wrapText="1"/>
    </xf>
    <xf numFmtId="169" fontId="6" fillId="11" borderId="23" xfId="0" applyNumberFormat="1" applyFont="1" applyFill="1" applyBorder="1" applyAlignment="1">
      <alignment horizontal="center" vertical="center" wrapText="1"/>
    </xf>
    <xf numFmtId="0" fontId="6" fillId="11" borderId="1" xfId="0" applyFont="1" applyFill="1" applyBorder="1" applyAlignment="1">
      <alignment horizontal="center" vertical="center" wrapText="1"/>
    </xf>
    <xf numFmtId="169" fontId="6" fillId="11" borderId="1" xfId="0" applyNumberFormat="1" applyFont="1" applyFill="1" applyBorder="1" applyAlignment="1">
      <alignment horizontal="center" vertical="center" wrapText="1"/>
    </xf>
    <xf numFmtId="0" fontId="4" fillId="0" borderId="22" xfId="0" applyFont="1" applyBorder="1" applyAlignment="1">
      <alignment horizontal="left" vertical="center"/>
    </xf>
    <xf numFmtId="0" fontId="0" fillId="0" borderId="16" xfId="0" applyBorder="1" applyAlignment="1">
      <alignment wrapText="1"/>
    </xf>
    <xf numFmtId="166" fontId="6" fillId="11" borderId="16" xfId="0" applyNumberFormat="1" applyFont="1" applyFill="1" applyBorder="1" applyAlignment="1">
      <alignment horizontal="center" vertical="center" wrapText="1"/>
    </xf>
    <xf numFmtId="168" fontId="6" fillId="8" borderId="16" xfId="0" applyNumberFormat="1" applyFont="1" applyFill="1" applyBorder="1" applyAlignment="1">
      <alignment horizontal="center" vertical="center"/>
    </xf>
    <xf numFmtId="0" fontId="0" fillId="0" borderId="16" xfId="0" applyBorder="1"/>
    <xf numFmtId="0" fontId="6" fillId="0" borderId="16" xfId="0" applyFont="1" applyBorder="1" applyAlignment="1">
      <alignment wrapText="1"/>
    </xf>
    <xf numFmtId="168" fontId="6" fillId="0" borderId="16" xfId="0" applyNumberFormat="1" applyFont="1" applyBorder="1" applyAlignment="1">
      <alignment horizontal="center" vertical="center"/>
    </xf>
    <xf numFmtId="0" fontId="11" fillId="0" borderId="16" xfId="0" applyFont="1" applyBorder="1" applyAlignment="1">
      <alignment horizontal="left" vertical="center"/>
    </xf>
    <xf numFmtId="0" fontId="19" fillId="0" borderId="16" xfId="0" applyFont="1" applyBorder="1" applyAlignment="1">
      <alignment wrapText="1"/>
    </xf>
    <xf numFmtId="166" fontId="6" fillId="10" borderId="16" xfId="0" applyNumberFormat="1" applyFont="1" applyFill="1" applyBorder="1" applyAlignment="1">
      <alignment horizontal="center" vertical="center" wrapText="1"/>
    </xf>
    <xf numFmtId="0" fontId="19" fillId="0" borderId="16" xfId="0" applyFont="1" applyBorder="1" applyAlignment="1">
      <alignment vertical="center" wrapText="1"/>
    </xf>
    <xf numFmtId="0" fontId="4" fillId="0" borderId="18" xfId="0" applyFont="1" applyBorder="1" applyAlignment="1">
      <alignment horizontal="center" vertical="center" wrapText="1"/>
    </xf>
    <xf numFmtId="0" fontId="4" fillId="0" borderId="18" xfId="0" applyFont="1" applyBorder="1" applyAlignment="1">
      <alignment horizontal="center" vertical="center"/>
    </xf>
    <xf numFmtId="0" fontId="20" fillId="0" borderId="18" xfId="0" applyFont="1" applyBorder="1"/>
    <xf numFmtId="0" fontId="20" fillId="0" borderId="19" xfId="0" applyFont="1" applyBorder="1" applyAlignment="1">
      <alignment horizontal="left" vertical="center"/>
    </xf>
    <xf numFmtId="0" fontId="4" fillId="0" borderId="20" xfId="0" applyFont="1" applyBorder="1" applyAlignment="1">
      <alignment vertical="center"/>
    </xf>
    <xf numFmtId="0" fontId="20" fillId="0" borderId="21" xfId="0" applyFont="1" applyBorder="1" applyAlignment="1">
      <alignment horizontal="left" vertical="center"/>
    </xf>
    <xf numFmtId="0" fontId="0" fillId="0" borderId="21" xfId="0" applyBorder="1" applyAlignment="1">
      <alignment horizontal="left" vertical="center"/>
    </xf>
    <xf numFmtId="0" fontId="11" fillId="0" borderId="20" xfId="0" applyFont="1" applyBorder="1" applyAlignment="1">
      <alignment horizontal="left" vertical="center"/>
    </xf>
    <xf numFmtId="0" fontId="8" fillId="0" borderId="22" xfId="0" applyFont="1" applyBorder="1" applyAlignment="1">
      <alignment horizontal="left" vertical="center"/>
    </xf>
    <xf numFmtId="0" fontId="13" fillId="0" borderId="23" xfId="0" applyFont="1" applyBorder="1" applyAlignment="1">
      <alignment wrapText="1"/>
    </xf>
    <xf numFmtId="168" fontId="8" fillId="9" borderId="23" xfId="0" applyNumberFormat="1" applyFont="1" applyFill="1" applyBorder="1" applyAlignment="1">
      <alignment horizontal="center" vertical="center" wrapText="1"/>
    </xf>
    <xf numFmtId="0" fontId="0" fillId="0" borderId="23" xfId="0" applyBorder="1"/>
    <xf numFmtId="0" fontId="0" fillId="0" borderId="24" xfId="0" applyBorder="1" applyAlignment="1">
      <alignment horizontal="left" vertical="center"/>
    </xf>
    <xf numFmtId="0" fontId="15" fillId="0" borderId="0" xfId="0" applyFont="1" applyAlignment="1">
      <alignment horizontal="left" wrapText="1"/>
    </xf>
    <xf numFmtId="0" fontId="6" fillId="0" borderId="0" xfId="0" applyFont="1" applyAlignment="1">
      <alignment horizontal="left" vertical="center" wrapText="1"/>
    </xf>
    <xf numFmtId="0" fontId="6" fillId="0" borderId="0" xfId="0" applyFont="1" applyAlignment="1">
      <alignment vertical="center"/>
    </xf>
    <xf numFmtId="0" fontId="6" fillId="0" borderId="0" xfId="0" applyFont="1" applyAlignment="1">
      <alignment vertical="center" wrapText="1"/>
    </xf>
    <xf numFmtId="0" fontId="17" fillId="0" borderId="0" xfId="0" applyFont="1" applyAlignment="1">
      <alignment vertical="center" wrapText="1"/>
    </xf>
    <xf numFmtId="0" fontId="17" fillId="0" borderId="21" xfId="0" applyFont="1" applyBorder="1" applyAlignment="1">
      <alignment vertical="center" wrapText="1"/>
    </xf>
    <xf numFmtId="0" fontId="12" fillId="0" borderId="23" xfId="0" applyFont="1" applyBorder="1" applyAlignment="1">
      <alignment vertical="center"/>
    </xf>
    <xf numFmtId="2" fontId="6" fillId="8" borderId="16" xfId="0" applyNumberFormat="1" applyFont="1" applyFill="1" applyBorder="1" applyAlignment="1">
      <alignment horizontal="center" vertical="center" wrapText="1"/>
    </xf>
    <xf numFmtId="169" fontId="6" fillId="9" borderId="16" xfId="0" applyNumberFormat="1" applyFont="1" applyFill="1" applyBorder="1" applyAlignment="1">
      <alignment horizontal="center" vertical="center" wrapText="1"/>
    </xf>
    <xf numFmtId="0" fontId="6" fillId="9" borderId="13" xfId="0" applyFont="1" applyFill="1" applyBorder="1" applyAlignment="1">
      <alignment horizontal="center" wrapText="1"/>
    </xf>
    <xf numFmtId="165" fontId="0" fillId="9" borderId="16" xfId="0" applyNumberFormat="1" applyFill="1" applyBorder="1" applyAlignment="1">
      <alignment horizontal="center" vertical="center"/>
    </xf>
    <xf numFmtId="165" fontId="20" fillId="9" borderId="23" xfId="0" applyNumberFormat="1" applyFont="1" applyFill="1" applyBorder="1" applyAlignment="1">
      <alignment horizontal="center" vertical="center"/>
    </xf>
    <xf numFmtId="0" fontId="27" fillId="11" borderId="23" xfId="0" applyFont="1" applyFill="1" applyBorder="1" applyAlignment="1">
      <alignment horizontal="center" vertical="center" wrapText="1"/>
    </xf>
    <xf numFmtId="168" fontId="6" fillId="11" borderId="38" xfId="0" applyNumberFormat="1" applyFont="1" applyFill="1" applyBorder="1" applyAlignment="1">
      <alignment horizontal="center" vertical="center" wrapText="1"/>
    </xf>
    <xf numFmtId="0" fontId="6" fillId="0" borderId="38" xfId="0" applyFont="1" applyBorder="1" applyAlignment="1">
      <alignment vertical="center" wrapText="1"/>
    </xf>
    <xf numFmtId="0" fontId="6" fillId="0" borderId="41" xfId="0" applyFont="1" applyBorder="1" applyAlignment="1">
      <alignment horizontal="left" vertical="center" wrapText="1"/>
    </xf>
    <xf numFmtId="0" fontId="0" fillId="0" borderId="42" xfId="0" applyBorder="1" applyAlignment="1">
      <alignment horizontal="left" vertical="center"/>
    </xf>
    <xf numFmtId="3" fontId="0" fillId="0" borderId="0" xfId="0" applyNumberFormat="1"/>
    <xf numFmtId="0" fontId="0" fillId="0" borderId="43" xfId="0" applyBorder="1"/>
    <xf numFmtId="0" fontId="26" fillId="0" borderId="23" xfId="0" applyFont="1" applyBorder="1" applyAlignment="1">
      <alignment horizontal="left" vertical="center" wrapText="1"/>
    </xf>
    <xf numFmtId="0" fontId="26" fillId="0" borderId="24" xfId="0" applyFont="1" applyBorder="1" applyAlignment="1">
      <alignment horizontal="left" vertical="center"/>
    </xf>
    <xf numFmtId="0" fontId="6" fillId="0" borderId="45" xfId="0" applyFont="1" applyBorder="1" applyAlignment="1">
      <alignment horizontal="left" vertical="center" wrapText="1"/>
    </xf>
    <xf numFmtId="0" fontId="6" fillId="0" borderId="46" xfId="0" applyFont="1" applyBorder="1" applyAlignment="1">
      <alignment horizontal="left" vertical="center" wrapText="1"/>
    </xf>
    <xf numFmtId="0" fontId="4" fillId="0" borderId="44" xfId="0" applyFont="1" applyBorder="1"/>
    <xf numFmtId="0" fontId="6" fillId="0" borderId="47" xfId="0" applyFont="1" applyBorder="1" applyAlignment="1">
      <alignment horizontal="left" vertical="center" wrapText="1"/>
    </xf>
    <xf numFmtId="0" fontId="7" fillId="0" borderId="48" xfId="0" applyFont="1" applyBorder="1" applyAlignment="1">
      <alignment horizontal="left" vertical="center"/>
    </xf>
    <xf numFmtId="0" fontId="7" fillId="0" borderId="40" xfId="0" applyFont="1" applyBorder="1" applyAlignment="1">
      <alignment horizontal="left" vertical="center"/>
    </xf>
    <xf numFmtId="0" fontId="6" fillId="0" borderId="49" xfId="0" applyFont="1" applyBorder="1" applyAlignment="1">
      <alignment horizontal="left" vertical="center" wrapText="1"/>
    </xf>
    <xf numFmtId="0" fontId="6" fillId="0" borderId="50" xfId="0" applyFont="1" applyBorder="1" applyAlignment="1">
      <alignment horizontal="left" vertical="center" wrapText="1"/>
    </xf>
    <xf numFmtId="0" fontId="6" fillId="0" borderId="51" xfId="0" applyFont="1" applyBorder="1" applyAlignment="1">
      <alignment horizontal="left" vertical="center" wrapText="1"/>
    </xf>
    <xf numFmtId="0" fontId="6" fillId="0" borderId="52" xfId="0" applyFont="1" applyBorder="1" applyAlignment="1">
      <alignment horizontal="left" vertical="center" wrapText="1"/>
    </xf>
    <xf numFmtId="0" fontId="8" fillId="0" borderId="53" xfId="0" applyFont="1" applyBorder="1" applyAlignment="1">
      <alignment vertical="center"/>
    </xf>
    <xf numFmtId="169" fontId="13" fillId="0" borderId="54" xfId="0" applyNumberFormat="1" applyFont="1" applyBorder="1" applyAlignment="1">
      <alignment horizontal="center" vertical="center" wrapText="1"/>
    </xf>
    <xf numFmtId="169" fontId="8" fillId="8" borderId="54" xfId="0" applyNumberFormat="1" applyFont="1" applyFill="1" applyBorder="1" applyAlignment="1">
      <alignment horizontal="center" vertical="center"/>
    </xf>
    <xf numFmtId="169" fontId="8" fillId="8" borderId="55" xfId="0" applyNumberFormat="1" applyFont="1" applyFill="1" applyBorder="1" applyAlignment="1">
      <alignment horizontal="center" vertical="center"/>
    </xf>
    <xf numFmtId="0" fontId="13" fillId="0" borderId="26" xfId="0" applyFont="1" applyBorder="1"/>
    <xf numFmtId="169" fontId="13" fillId="0" borderId="25" xfId="0" applyNumberFormat="1" applyFont="1" applyBorder="1" applyAlignment="1">
      <alignment horizontal="center" vertical="center" wrapText="1"/>
    </xf>
    <xf numFmtId="169" fontId="13" fillId="0" borderId="25" xfId="0" applyNumberFormat="1" applyFont="1" applyBorder="1" applyAlignment="1">
      <alignment wrapText="1"/>
    </xf>
    <xf numFmtId="169" fontId="13" fillId="0" borderId="25" xfId="0" applyNumberFormat="1" applyFont="1" applyBorder="1"/>
    <xf numFmtId="169" fontId="13" fillId="0" borderId="36" xfId="0" applyNumberFormat="1" applyFont="1" applyBorder="1"/>
    <xf numFmtId="0" fontId="8" fillId="0" borderId="56" xfId="0" applyFont="1" applyBorder="1" applyAlignment="1">
      <alignment vertical="center"/>
    </xf>
    <xf numFmtId="169" fontId="8" fillId="8" borderId="58" xfId="0" applyNumberFormat="1" applyFont="1" applyFill="1" applyBorder="1" applyAlignment="1">
      <alignment horizontal="center" vertical="center"/>
    </xf>
    <xf numFmtId="3" fontId="6" fillId="11" borderId="18" xfId="0" applyNumberFormat="1" applyFont="1" applyFill="1" applyBorder="1" applyAlignment="1">
      <alignment horizontal="center" vertical="center" wrapText="1"/>
    </xf>
    <xf numFmtId="0" fontId="6" fillId="0" borderId="18" xfId="0" applyFont="1" applyBorder="1" applyAlignment="1">
      <alignment horizontal="center" vertical="center" wrapText="1"/>
    </xf>
    <xf numFmtId="0" fontId="17" fillId="0" borderId="19" xfId="0" applyFont="1" applyBorder="1" applyAlignment="1">
      <alignment horizontal="left" vertical="center" wrapText="1"/>
    </xf>
    <xf numFmtId="0" fontId="6" fillId="0" borderId="59" xfId="0" applyFont="1" applyBorder="1" applyAlignment="1">
      <alignment horizontal="left" vertical="center" wrapText="1"/>
    </xf>
    <xf numFmtId="170" fontId="0" fillId="9" borderId="0" xfId="0" applyNumberFormat="1" applyFill="1" applyAlignment="1">
      <alignment horizontal="center" vertical="center"/>
    </xf>
    <xf numFmtId="169" fontId="2" fillId="0" borderId="0" xfId="0" applyNumberFormat="1" applyFont="1" applyAlignment="1">
      <alignment wrapText="1"/>
    </xf>
    <xf numFmtId="171" fontId="13" fillId="0" borderId="25" xfId="0" applyNumberFormat="1" applyFont="1" applyBorder="1" applyAlignment="1">
      <alignment horizontal="left" vertical="center"/>
    </xf>
    <xf numFmtId="168" fontId="8" fillId="8" borderId="57" xfId="0" applyNumberFormat="1" applyFont="1" applyFill="1" applyBorder="1" applyAlignment="1">
      <alignment horizontal="center" vertical="center"/>
    </xf>
    <xf numFmtId="0" fontId="4" fillId="0" borderId="1" xfId="0" applyFont="1" applyBorder="1" applyAlignment="1">
      <alignment horizontal="center" vertical="center" wrapText="1"/>
    </xf>
    <xf numFmtId="169" fontId="4" fillId="8" borderId="35" xfId="0" applyNumberFormat="1" applyFont="1" applyFill="1" applyBorder="1" applyAlignment="1">
      <alignment horizontal="center" vertical="center"/>
    </xf>
    <xf numFmtId="169" fontId="4" fillId="9" borderId="1" xfId="0" applyNumberFormat="1" applyFont="1" applyFill="1" applyBorder="1" applyAlignment="1">
      <alignment horizontal="center" vertical="center"/>
    </xf>
    <xf numFmtId="169" fontId="4" fillId="8" borderId="60" xfId="0" applyNumberFormat="1" applyFont="1" applyFill="1" applyBorder="1" applyAlignment="1">
      <alignment horizontal="center" vertical="center"/>
    </xf>
    <xf numFmtId="164" fontId="20" fillId="9" borderId="0" xfId="0" applyNumberFormat="1" applyFont="1" applyFill="1" applyAlignment="1">
      <alignment horizontal="center"/>
    </xf>
    <xf numFmtId="0" fontId="6" fillId="9" borderId="1" xfId="0" applyFont="1" applyFill="1" applyBorder="1" applyAlignment="1">
      <alignment horizontal="center" vertical="center"/>
    </xf>
    <xf numFmtId="0" fontId="0" fillId="0" borderId="0" xfId="0" applyAlignment="1">
      <alignment horizontal="left" vertical="center" wrapText="1"/>
    </xf>
    <xf numFmtId="164" fontId="6" fillId="11" borderId="16" xfId="0" applyNumberFormat="1" applyFont="1" applyFill="1" applyBorder="1" applyAlignment="1">
      <alignment horizontal="center" vertical="center"/>
    </xf>
    <xf numFmtId="164" fontId="6" fillId="13" borderId="16" xfId="0" applyNumberFormat="1" applyFont="1" applyFill="1" applyBorder="1" applyAlignment="1">
      <alignment horizontal="center" vertical="center"/>
    </xf>
    <xf numFmtId="169" fontId="6" fillId="11" borderId="16" xfId="2" applyNumberFormat="1" applyFont="1" applyFill="1" applyBorder="1" applyAlignment="1">
      <alignment horizontal="center" vertical="center" wrapText="1"/>
    </xf>
    <xf numFmtId="0" fontId="4" fillId="0" borderId="16" xfId="0" applyFont="1" applyBorder="1" applyAlignment="1">
      <alignment horizontal="left" vertical="center"/>
    </xf>
    <xf numFmtId="169" fontId="11" fillId="11" borderId="16" xfId="0" applyNumberFormat="1" applyFont="1" applyFill="1" applyBorder="1" applyAlignment="1">
      <alignment horizontal="center" vertical="center" wrapText="1"/>
    </xf>
    <xf numFmtId="168" fontId="11" fillId="11" borderId="16" xfId="2" applyNumberFormat="1" applyFont="1" applyFill="1" applyBorder="1" applyAlignment="1">
      <alignment horizontal="center" vertical="center" wrapText="1"/>
    </xf>
    <xf numFmtId="168" fontId="6" fillId="13" borderId="16" xfId="0" applyNumberFormat="1" applyFont="1" applyFill="1" applyBorder="1" applyAlignment="1">
      <alignment horizontal="center" vertical="center" wrapText="1"/>
    </xf>
    <xf numFmtId="0" fontId="1" fillId="0" borderId="0" xfId="0" applyFont="1"/>
    <xf numFmtId="0" fontId="4" fillId="0" borderId="16" xfId="0" applyFont="1" applyBorder="1" applyAlignment="1">
      <alignment vertical="center"/>
    </xf>
    <xf numFmtId="0" fontId="0" fillId="0" borderId="16" xfId="0" applyBorder="1" applyAlignment="1">
      <alignment horizontal="center" vertical="center"/>
    </xf>
    <xf numFmtId="0" fontId="0" fillId="0" borderId="18" xfId="0" applyBorder="1"/>
    <xf numFmtId="0" fontId="20" fillId="0" borderId="19" xfId="0" applyFont="1" applyBorder="1" applyAlignment="1">
      <alignment horizontal="left" vertical="center" wrapText="1"/>
    </xf>
    <xf numFmtId="0" fontId="20" fillId="0" borderId="21" xfId="0" applyFont="1" applyBorder="1" applyAlignment="1">
      <alignment horizontal="left" vertical="center" wrapText="1"/>
    </xf>
    <xf numFmtId="0" fontId="0" fillId="0" borderId="20" xfId="0" applyBorder="1" applyAlignment="1">
      <alignment horizontal="center" vertical="center"/>
    </xf>
    <xf numFmtId="0" fontId="1" fillId="0" borderId="21" xfId="0" applyFont="1"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center" vertical="center"/>
    </xf>
    <xf numFmtId="0" fontId="1" fillId="0" borderId="24" xfId="0" applyFont="1" applyBorder="1" applyAlignment="1">
      <alignment horizontal="left" vertical="center" wrapText="1"/>
    </xf>
    <xf numFmtId="0" fontId="0" fillId="0" borderId="27" xfId="0" applyBorder="1" applyAlignment="1">
      <alignment horizontal="center" vertical="center"/>
    </xf>
    <xf numFmtId="0" fontId="4" fillId="0" borderId="28" xfId="0" applyFont="1" applyBorder="1" applyAlignment="1">
      <alignment vertical="center"/>
    </xf>
    <xf numFmtId="0" fontId="4" fillId="0" borderId="28" xfId="0" applyFont="1" applyBorder="1" applyAlignment="1">
      <alignment horizontal="center" vertical="center" wrapText="1"/>
    </xf>
    <xf numFmtId="0" fontId="20" fillId="0" borderId="29" xfId="0" applyFont="1" applyBorder="1" applyAlignment="1">
      <alignment horizontal="left" vertical="center" wrapText="1"/>
    </xf>
    <xf numFmtId="0" fontId="4" fillId="0" borderId="22" xfId="0" applyFont="1" applyBorder="1" applyAlignment="1">
      <alignment vertical="center"/>
    </xf>
    <xf numFmtId="0" fontId="4" fillId="0" borderId="23" xfId="0" applyFont="1" applyBorder="1" applyAlignment="1">
      <alignment vertical="center"/>
    </xf>
    <xf numFmtId="0" fontId="4" fillId="0" borderId="23" xfId="0" applyFont="1" applyBorder="1" applyAlignment="1">
      <alignment horizontal="center" vertical="center" wrapText="1"/>
    </xf>
    <xf numFmtId="0" fontId="20" fillId="0" borderId="24" xfId="0" applyFont="1" applyBorder="1" applyAlignment="1">
      <alignment horizontal="left" vertical="center" wrapText="1"/>
    </xf>
    <xf numFmtId="0" fontId="6" fillId="11" borderId="61" xfId="0" applyFont="1" applyFill="1" applyBorder="1" applyAlignment="1">
      <alignment horizontal="center" vertical="center" wrapText="1"/>
    </xf>
    <xf numFmtId="169" fontId="6" fillId="10" borderId="23" xfId="0" applyNumberFormat="1" applyFont="1" applyFill="1" applyBorder="1" applyAlignment="1">
      <alignment horizontal="center" vertical="center" wrapText="1"/>
    </xf>
    <xf numFmtId="0" fontId="6" fillId="0" borderId="20" xfId="0" applyFont="1" applyBorder="1" applyAlignment="1">
      <alignment horizontal="center" vertical="center"/>
    </xf>
    <xf numFmtId="0" fontId="5" fillId="0" borderId="16" xfId="0" applyFont="1" applyBorder="1" applyAlignment="1">
      <alignment horizontal="left" vertical="center" wrapText="1"/>
    </xf>
    <xf numFmtId="0" fontId="12" fillId="0" borderId="41" xfId="0" applyFont="1" applyBorder="1" applyAlignment="1">
      <alignment horizontal="left" vertical="center"/>
    </xf>
    <xf numFmtId="167" fontId="6" fillId="8" borderId="16" xfId="0" applyNumberFormat="1" applyFont="1" applyFill="1" applyBorder="1" applyAlignment="1">
      <alignment horizontal="center" vertical="center" wrapText="1"/>
    </xf>
    <xf numFmtId="167" fontId="6" fillId="11" borderId="16" xfId="0" applyNumberFormat="1" applyFont="1" applyFill="1" applyBorder="1" applyAlignment="1">
      <alignment horizontal="center" vertical="center" wrapText="1"/>
    </xf>
    <xf numFmtId="164" fontId="6" fillId="8" borderId="16" xfId="0" applyNumberFormat="1" applyFont="1" applyFill="1" applyBorder="1" applyAlignment="1">
      <alignment horizontal="center" vertical="center" wrapText="1"/>
    </xf>
    <xf numFmtId="0" fontId="1" fillId="0" borderId="21" xfId="0" applyFont="1" applyBorder="1" applyAlignment="1">
      <alignment vertical="center" wrapText="1"/>
    </xf>
    <xf numFmtId="0" fontId="6" fillId="13" borderId="16" xfId="0" applyFont="1" applyFill="1" applyBorder="1" applyAlignment="1">
      <alignment horizontal="center" vertical="center" wrapText="1"/>
    </xf>
    <xf numFmtId="164" fontId="28" fillId="12" borderId="35" xfId="3" applyNumberFormat="1" applyFont="1" applyBorder="1" applyAlignment="1">
      <alignment horizontal="center" vertical="center" wrapText="1"/>
    </xf>
    <xf numFmtId="0" fontId="28" fillId="12" borderId="1" xfId="3" applyFont="1" applyBorder="1" applyAlignment="1">
      <alignment horizontal="center" vertical="center" wrapText="1"/>
    </xf>
    <xf numFmtId="164" fontId="28" fillId="12" borderId="35" xfId="3" applyNumberFormat="1" applyFont="1" applyBorder="1" applyAlignment="1">
      <alignment horizontal="left" vertical="center" wrapText="1"/>
    </xf>
    <xf numFmtId="0" fontId="6" fillId="0" borderId="62" xfId="0" applyFont="1" applyBorder="1" applyAlignment="1">
      <alignment horizontal="left" vertical="center" wrapText="1"/>
    </xf>
    <xf numFmtId="0" fontId="6" fillId="11" borderId="62" xfId="0" applyFont="1" applyFill="1" applyBorder="1" applyAlignment="1">
      <alignment horizontal="center" vertical="center" wrapText="1"/>
    </xf>
    <xf numFmtId="169" fontId="6" fillId="11" borderId="62" xfId="0" applyNumberFormat="1" applyFont="1" applyFill="1" applyBorder="1" applyAlignment="1">
      <alignment horizontal="center" vertical="center" wrapText="1"/>
    </xf>
    <xf numFmtId="169" fontId="6" fillId="8" borderId="63" xfId="0" applyNumberFormat="1" applyFont="1" applyFill="1" applyBorder="1" applyAlignment="1">
      <alignment horizontal="center" vertical="center" wrapText="1"/>
    </xf>
    <xf numFmtId="0" fontId="8" fillId="0" borderId="14" xfId="0" applyFont="1" applyBorder="1" applyAlignment="1">
      <alignment horizontal="left" vertical="center" wrapText="1"/>
    </xf>
    <xf numFmtId="0" fontId="1" fillId="6" borderId="0" xfId="0" applyFont="1" applyFill="1"/>
    <xf numFmtId="0" fontId="1" fillId="7" borderId="0" xfId="0" applyFont="1" applyFill="1"/>
    <xf numFmtId="0" fontId="1" fillId="0" borderId="19" xfId="0" applyFont="1" applyBorder="1" applyAlignment="1">
      <alignment horizontal="center" vertical="center"/>
    </xf>
    <xf numFmtId="0" fontId="1" fillId="0" borderId="21" xfId="0" applyFont="1" applyBorder="1" applyAlignment="1">
      <alignment horizontal="center" vertical="center"/>
    </xf>
    <xf numFmtId="0" fontId="1" fillId="0" borderId="29" xfId="0" applyFont="1" applyBorder="1" applyAlignment="1">
      <alignment horizontal="left" vertical="center" wrapText="1"/>
    </xf>
    <xf numFmtId="0" fontId="1" fillId="0" borderId="39" xfId="0" applyFont="1" applyBorder="1" applyAlignment="1">
      <alignment horizontal="left" vertical="center" wrapText="1"/>
    </xf>
    <xf numFmtId="0" fontId="26" fillId="0" borderId="44" xfId="0" applyFont="1" applyBorder="1" applyAlignment="1">
      <alignment horizontal="left" vertical="center" wrapText="1"/>
    </xf>
    <xf numFmtId="0" fontId="1" fillId="0" borderId="21" xfId="0" applyFont="1" applyBorder="1"/>
    <xf numFmtId="0" fontId="1" fillId="0" borderId="21" xfId="0" applyFont="1" applyBorder="1" applyAlignment="1">
      <alignment horizontal="left" vertical="center"/>
    </xf>
    <xf numFmtId="0" fontId="1" fillId="0" borderId="0" xfId="0" applyFont="1" applyAlignment="1">
      <alignment wrapText="1"/>
    </xf>
  </cellXfs>
  <cellStyles count="4">
    <cellStyle name="Comma" xfId="1" builtinId="3"/>
    <cellStyle name="Currency" xfId="2" builtinId="4"/>
    <cellStyle name="Good" xfId="3" builtinId="26"/>
    <cellStyle name="Normal" xfId="0" builtinId="0"/>
  </cellStyles>
  <dxfs count="2">
    <dxf>
      <fill>
        <patternFill patternType="solid">
          <fgColor rgb="FFFFFFCC"/>
          <bgColor rgb="FFFFFFCC"/>
        </patternFill>
      </fill>
    </dxf>
    <dxf>
      <font>
        <color rgb="FFBFBFBF"/>
      </font>
      <fill>
        <patternFill patternType="solid">
          <fgColor rgb="FFC0C0C0"/>
          <bgColor rgb="FFC0C0C0"/>
        </patternFill>
      </fill>
    </dxf>
  </dxfs>
  <tableStyles count="0" defaultTableStyle="TableStyleMedium2" defaultPivotStyle="PivotStyleLight16"/>
  <colors>
    <mruColors>
      <color rgb="FFE5FFFF"/>
      <color rgb="FFFFFFDD"/>
      <color rgb="FF89FFC4"/>
      <color rgb="FFB7FFDB"/>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130A9-7FF4-4AFA-9BC3-C6B1425FF384}">
  <dimension ref="C3:D49"/>
  <sheetViews>
    <sheetView tabSelected="1" workbookViewId="0">
      <selection activeCell="A2" sqref="A2"/>
    </sheetView>
  </sheetViews>
  <sheetFormatPr defaultColWidth="8.85546875" defaultRowHeight="15"/>
  <cols>
    <col min="3" max="3" width="28.7109375" customWidth="1"/>
  </cols>
  <sheetData>
    <row r="3" spans="3:4">
      <c r="C3" s="50" t="s">
        <v>0</v>
      </c>
    </row>
    <row r="4" spans="3:4">
      <c r="C4" s="50"/>
    </row>
    <row r="5" spans="3:4">
      <c r="C5" s="50" t="s">
        <v>1</v>
      </c>
      <c r="D5" s="280" t="s">
        <v>2</v>
      </c>
    </row>
    <row r="6" spans="3:4">
      <c r="C6" s="50" t="s">
        <v>3</v>
      </c>
      <c r="D6" s="280" t="s">
        <v>4</v>
      </c>
    </row>
    <row r="7" spans="3:4">
      <c r="C7" s="50" t="s">
        <v>5</v>
      </c>
      <c r="D7" s="280" t="s">
        <v>6</v>
      </c>
    </row>
    <row r="8" spans="3:4">
      <c r="C8" s="50" t="s">
        <v>7</v>
      </c>
      <c r="D8" s="280" t="s">
        <v>8</v>
      </c>
    </row>
    <row r="9" spans="3:4">
      <c r="C9" s="50" t="s">
        <v>9</v>
      </c>
      <c r="D9" s="280" t="s">
        <v>10</v>
      </c>
    </row>
    <row r="10" spans="3:4">
      <c r="C10" s="50" t="s">
        <v>11</v>
      </c>
      <c r="D10" s="280" t="s">
        <v>12</v>
      </c>
    </row>
    <row r="11" spans="3:4">
      <c r="C11" s="50"/>
      <c r="D11" s="280" t="s">
        <v>13</v>
      </c>
    </row>
    <row r="12" spans="3:4">
      <c r="C12" s="50" t="s">
        <v>14</v>
      </c>
      <c r="D12" s="280" t="s">
        <v>15</v>
      </c>
    </row>
    <row r="13" spans="3:4">
      <c r="C13" s="50" t="s">
        <v>16</v>
      </c>
      <c r="D13" s="280" t="s">
        <v>17</v>
      </c>
    </row>
    <row r="14" spans="3:4">
      <c r="C14" s="50" t="s">
        <v>18</v>
      </c>
      <c r="D14" s="280" t="s">
        <v>19</v>
      </c>
    </row>
    <row r="16" spans="3:4">
      <c r="C16" s="50" t="s">
        <v>20</v>
      </c>
    </row>
    <row r="17" spans="3:3">
      <c r="C17" s="280" t="s">
        <v>21</v>
      </c>
    </row>
    <row r="18" spans="3:3">
      <c r="C18" s="317" t="s">
        <v>22</v>
      </c>
    </row>
    <row r="19" spans="3:3">
      <c r="C19" s="318" t="s">
        <v>23</v>
      </c>
    </row>
    <row r="20" spans="3:3">
      <c r="C20" s="280" t="s">
        <v>24</v>
      </c>
    </row>
    <row r="21" spans="3:3">
      <c r="C21" s="280" t="s">
        <v>25</v>
      </c>
    </row>
    <row r="22" spans="3:3">
      <c r="C22" s="280" t="s">
        <v>26</v>
      </c>
    </row>
    <row r="25" spans="3:3">
      <c r="C25" s="50" t="s">
        <v>27</v>
      </c>
    </row>
    <row r="26" spans="3:3">
      <c r="C26" s="50" t="s">
        <v>28</v>
      </c>
    </row>
    <row r="27" spans="3:3">
      <c r="C27" s="280" t="s">
        <v>29</v>
      </c>
    </row>
    <row r="28" spans="3:3">
      <c r="C28" s="50" t="s">
        <v>30</v>
      </c>
    </row>
    <row r="29" spans="3:3">
      <c r="C29" s="280" t="s">
        <v>31</v>
      </c>
    </row>
    <row r="30" spans="3:3">
      <c r="C30" s="280" t="s">
        <v>32</v>
      </c>
    </row>
    <row r="31" spans="3:3">
      <c r="C31" s="50" t="s">
        <v>33</v>
      </c>
    </row>
    <row r="32" spans="3:3">
      <c r="C32" s="280" t="s">
        <v>34</v>
      </c>
    </row>
    <row r="33" spans="3:4">
      <c r="C33" s="50" t="s">
        <v>35</v>
      </c>
    </row>
    <row r="34" spans="3:4">
      <c r="C34" s="280" t="s">
        <v>36</v>
      </c>
    </row>
    <row r="35" spans="3:4">
      <c r="C35" s="50" t="s">
        <v>37</v>
      </c>
    </row>
    <row r="36" spans="3:4">
      <c r="C36" s="280" t="s">
        <v>38</v>
      </c>
    </row>
    <row r="37" spans="3:4">
      <c r="C37" s="280" t="s">
        <v>39</v>
      </c>
    </row>
    <row r="38" spans="3:4">
      <c r="C38" s="280" t="s">
        <v>40</v>
      </c>
    </row>
    <row r="39" spans="3:4">
      <c r="C39" s="280" t="s">
        <v>41</v>
      </c>
    </row>
    <row r="40" spans="3:4">
      <c r="C40" s="280" t="s">
        <v>42</v>
      </c>
    </row>
    <row r="41" spans="3:4">
      <c r="C41" s="280" t="s">
        <v>43</v>
      </c>
      <c r="D41" s="280" t="s">
        <v>44</v>
      </c>
    </row>
    <row r="42" spans="3:4">
      <c r="C42" s="50" t="s">
        <v>45</v>
      </c>
      <c r="D42" s="280"/>
    </row>
    <row r="43" spans="3:4">
      <c r="C43" s="280" t="s">
        <v>46</v>
      </c>
      <c r="D43" s="280"/>
    </row>
    <row r="44" spans="3:4">
      <c r="C44" s="50" t="s">
        <v>47</v>
      </c>
    </row>
    <row r="45" spans="3:4">
      <c r="C45" s="280" t="s">
        <v>48</v>
      </c>
    </row>
    <row r="46" spans="3:4">
      <c r="C46" s="50" t="s">
        <v>49</v>
      </c>
    </row>
    <row r="47" spans="3:4">
      <c r="C47" s="280" t="s">
        <v>50</v>
      </c>
    </row>
    <row r="48" spans="3:4">
      <c r="C48" s="50" t="s">
        <v>51</v>
      </c>
    </row>
    <row r="49" spans="3:3">
      <c r="C49" s="280" t="s">
        <v>52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93867-4F7E-4D3F-863C-A08B28FEDED8}">
  <dimension ref="B2:H16"/>
  <sheetViews>
    <sheetView workbookViewId="0"/>
  </sheetViews>
  <sheetFormatPr defaultColWidth="8.85546875" defaultRowHeight="15"/>
  <cols>
    <col min="2" max="2" width="6.42578125" customWidth="1"/>
    <col min="3" max="3" width="29.42578125" customWidth="1"/>
    <col min="4" max="4" width="18.7109375" customWidth="1"/>
    <col min="5" max="5" width="19.140625" customWidth="1"/>
    <col min="6" max="6" width="15.85546875" customWidth="1"/>
    <col min="7" max="7" width="18" customWidth="1"/>
  </cols>
  <sheetData>
    <row r="2" spans="2:8" ht="15.95" thickBot="1"/>
    <row r="3" spans="2:8" ht="24.95" thickBot="1">
      <c r="B3" s="9" t="s">
        <v>322</v>
      </c>
      <c r="C3" s="19"/>
      <c r="D3" s="6"/>
      <c r="E3" s="6"/>
      <c r="F3" s="41"/>
      <c r="G3" s="38"/>
    </row>
    <row r="4" spans="2:8" ht="39.950000000000003">
      <c r="B4" s="53"/>
      <c r="C4" s="6" t="s">
        <v>323</v>
      </c>
      <c r="D4" s="6" t="s">
        <v>324</v>
      </c>
      <c r="E4" s="6" t="s">
        <v>325</v>
      </c>
      <c r="F4" s="41" t="s">
        <v>326</v>
      </c>
      <c r="G4" s="38" t="s">
        <v>327</v>
      </c>
    </row>
    <row r="5" spans="2:8" ht="17.100000000000001">
      <c r="B5" s="54"/>
      <c r="C5" s="11" t="s">
        <v>328</v>
      </c>
      <c r="D5" s="190">
        <v>3</v>
      </c>
      <c r="E5" s="190">
        <v>3</v>
      </c>
      <c r="F5" s="191">
        <v>250</v>
      </c>
      <c r="G5" s="178">
        <f>(D5*E5)/12*F5</f>
        <v>187.5</v>
      </c>
      <c r="H5" s="280" t="s">
        <v>329</v>
      </c>
    </row>
    <row r="6" spans="2:8" ht="17.100000000000001">
      <c r="B6" s="54"/>
      <c r="C6" s="11" t="s">
        <v>330</v>
      </c>
      <c r="D6" s="190">
        <v>12</v>
      </c>
      <c r="E6" s="190">
        <v>5</v>
      </c>
      <c r="F6" s="191">
        <v>100</v>
      </c>
      <c r="G6" s="178">
        <f>(D6*E6)/12*F6</f>
        <v>500</v>
      </c>
      <c r="H6" s="280"/>
    </row>
    <row r="7" spans="2:8" ht="17.100000000000001">
      <c r="B7" s="14"/>
      <c r="C7" s="11" t="s">
        <v>331</v>
      </c>
      <c r="D7" s="190">
        <v>12</v>
      </c>
      <c r="E7" s="190">
        <v>5</v>
      </c>
      <c r="F7" s="191">
        <v>75</v>
      </c>
      <c r="G7" s="178">
        <f>(D7*E7)/12*F7</f>
        <v>375</v>
      </c>
    </row>
    <row r="8" spans="2:8" ht="17.100000000000001">
      <c r="B8" s="54"/>
      <c r="C8" s="11" t="s">
        <v>332</v>
      </c>
      <c r="D8" s="190">
        <v>12</v>
      </c>
      <c r="E8" s="190">
        <v>10</v>
      </c>
      <c r="F8" s="191">
        <v>50</v>
      </c>
      <c r="G8" s="178">
        <f>(D8*E8)/12*F8</f>
        <v>500</v>
      </c>
    </row>
    <row r="9" spans="2:8" ht="17.100000000000001">
      <c r="B9" s="54"/>
      <c r="C9" s="312" t="s">
        <v>333</v>
      </c>
      <c r="D9" s="313">
        <v>6</v>
      </c>
      <c r="E9" s="313">
        <v>2</v>
      </c>
      <c r="F9" s="314">
        <v>150</v>
      </c>
      <c r="G9" s="315">
        <f>(D9*E9)/12*F9</f>
        <v>150</v>
      </c>
    </row>
    <row r="10" spans="2:8" ht="15.95">
      <c r="B10" s="54"/>
      <c r="C10" s="11"/>
      <c r="D10" s="10"/>
      <c r="E10" s="17"/>
      <c r="F10" s="81"/>
      <c r="G10" s="82"/>
    </row>
    <row r="11" spans="2:8" ht="17.100000000000001">
      <c r="B11" s="54"/>
      <c r="C11" s="11" t="s">
        <v>334</v>
      </c>
      <c r="D11" s="190">
        <v>0.5</v>
      </c>
      <c r="E11" s="17"/>
      <c r="F11" s="81"/>
      <c r="G11" s="178">
        <f>SUM(G5:G8)*D11</f>
        <v>781.25</v>
      </c>
    </row>
    <row r="12" spans="2:8" ht="23.1" thickBot="1">
      <c r="B12" s="55"/>
      <c r="C12" s="30" t="s">
        <v>335</v>
      </c>
      <c r="D12" s="20"/>
      <c r="E12" s="77"/>
      <c r="F12" s="77"/>
      <c r="G12" s="179">
        <f>SUM(G5:G11)</f>
        <v>2493.75</v>
      </c>
    </row>
    <row r="15" spans="2:8" ht="32.1">
      <c r="C15" s="182" t="s">
        <v>97</v>
      </c>
      <c r="D15" s="180" t="s">
        <v>98</v>
      </c>
    </row>
    <row r="16" spans="2:8" ht="15.95">
      <c r="C16" s="181" t="s">
        <v>99</v>
      </c>
      <c r="D16" s="180" t="s">
        <v>100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45303-370A-455C-BF3E-D3F04A4CAFDE}">
  <dimension ref="A1:AA1002"/>
  <sheetViews>
    <sheetView topLeftCell="A26" workbookViewId="0">
      <selection activeCell="C13" sqref="C13"/>
    </sheetView>
  </sheetViews>
  <sheetFormatPr defaultColWidth="14.42578125" defaultRowHeight="15" customHeight="1"/>
  <cols>
    <col min="1" max="1" width="8.85546875" customWidth="1"/>
    <col min="2" max="2" width="45" customWidth="1"/>
    <col min="3" max="3" width="16.85546875" customWidth="1"/>
    <col min="4" max="4" width="16.140625" customWidth="1"/>
    <col min="5" max="5" width="14.85546875" customWidth="1"/>
    <col min="6" max="6" width="14" customWidth="1"/>
    <col min="7" max="7" width="13.42578125" customWidth="1"/>
    <col min="8" max="8" width="18.7109375" customWidth="1"/>
    <col min="9" max="9" width="18.42578125" customWidth="1"/>
    <col min="10" max="10" width="9" customWidth="1"/>
    <col min="11" max="11" width="6.42578125" customWidth="1"/>
    <col min="12" max="12" width="40.28515625" customWidth="1"/>
    <col min="13" max="13" width="16.85546875" customWidth="1"/>
    <col min="14" max="14" width="17" customWidth="1"/>
    <col min="15" max="15" width="14.42578125" customWidth="1"/>
    <col min="16" max="16" width="15.42578125" customWidth="1"/>
    <col min="17" max="17" width="21.140625" customWidth="1"/>
    <col min="18" max="18" width="7.42578125" customWidth="1"/>
    <col min="19" max="19" width="4.28515625" customWidth="1"/>
    <col min="20" max="20" width="64.42578125" customWidth="1"/>
    <col min="21" max="21" width="19.85546875" customWidth="1"/>
    <col min="22" max="22" width="50.28515625" customWidth="1"/>
    <col min="23" max="23" width="15.28515625" customWidth="1"/>
    <col min="24" max="24" width="23.7109375" customWidth="1"/>
    <col min="25" max="25" width="13.42578125" customWidth="1"/>
    <col min="26" max="26" width="14.85546875" customWidth="1"/>
    <col min="27" max="27" width="28.140625" customWidth="1"/>
  </cols>
  <sheetData>
    <row r="1" spans="2:27">
      <c r="C1" s="1"/>
      <c r="D1" s="2"/>
      <c r="E1" s="3"/>
      <c r="F1" s="3"/>
      <c r="N1" s="2"/>
      <c r="P1" s="4"/>
      <c r="AA1" s="5" t="s">
        <v>53</v>
      </c>
    </row>
    <row r="2" spans="2:27" ht="15.95" thickBot="1">
      <c r="C2" s="1"/>
      <c r="D2" s="2"/>
      <c r="E2" s="3"/>
      <c r="F2" s="3"/>
      <c r="J2" s="3"/>
      <c r="N2" s="2"/>
      <c r="P2" s="4"/>
      <c r="AA2" s="5" t="s">
        <v>54</v>
      </c>
    </row>
    <row r="3" spans="2:27" ht="51" thickBot="1">
      <c r="B3" s="120" t="s">
        <v>55</v>
      </c>
      <c r="C3" s="121" t="s">
        <v>56</v>
      </c>
      <c r="D3" s="122" t="s">
        <v>57</v>
      </c>
      <c r="E3" s="121" t="s">
        <v>58</v>
      </c>
      <c r="F3" s="122" t="s">
        <v>59</v>
      </c>
      <c r="G3" s="121" t="s">
        <v>60</v>
      </c>
      <c r="H3" s="123"/>
      <c r="I3" s="124" t="s">
        <v>61</v>
      </c>
      <c r="J3" s="263"/>
      <c r="P3" s="7" t="s">
        <v>62</v>
      </c>
      <c r="Q3" s="8" t="s">
        <v>63</v>
      </c>
    </row>
    <row r="4" spans="2:27" ht="60.75" customHeight="1">
      <c r="B4" s="311" t="s">
        <v>64</v>
      </c>
      <c r="C4" s="309">
        <f>SUM(C9,C33,C35,C37,C39,C42)/1000</f>
        <v>10.280469012000001</v>
      </c>
      <c r="D4" s="309">
        <f t="shared" ref="D4:G4" si="0">SUM(D9,D33,D35,D37,D39,D42)/1000</f>
        <v>3.3671017499999998</v>
      </c>
      <c r="E4" s="309">
        <f t="shared" si="0"/>
        <v>3.3671017499999998</v>
      </c>
      <c r="F4" s="309">
        <f t="shared" si="0"/>
        <v>0</v>
      </c>
      <c r="G4" s="309">
        <f t="shared" si="0"/>
        <v>0</v>
      </c>
      <c r="H4" s="310" t="s">
        <v>65</v>
      </c>
      <c r="I4" s="309">
        <f>SUM(I9,I33,I35,I37,I39,I42)/1000</f>
        <v>17.014672512000001</v>
      </c>
      <c r="P4" s="118"/>
      <c r="Q4" s="119"/>
    </row>
    <row r="5" spans="2:27" ht="14.25" customHeight="1">
      <c r="B5" s="125"/>
      <c r="C5" s="115"/>
      <c r="D5" s="116"/>
      <c r="E5" s="115"/>
      <c r="F5" s="116"/>
      <c r="G5" s="115"/>
      <c r="H5" s="117"/>
      <c r="I5" s="126"/>
      <c r="J5" s="3"/>
      <c r="P5" s="118"/>
      <c r="Q5" s="119"/>
    </row>
    <row r="6" spans="2:27" ht="27.75" customHeight="1">
      <c r="B6" s="64" t="s">
        <v>66</v>
      </c>
      <c r="C6" s="153">
        <f>IF('Exp. Details'!$C$8="Pulse",'Seaweed details'!$D$5*'Exp. Details'!$C$6,'Seaweed details'!$D$5*'Exp. Details'!$C$6*'Exp. Details'!$C$9)</f>
        <v>202.88400000000001</v>
      </c>
      <c r="D6" s="153">
        <f>IF('Exp. Details'!$C$8="Pulse",0,'Seaweed details'!$D$5*'Exp. Details'!$C$6*'Exp. Details'!$C$9*IF('Exp. Details'!$C$10&gt;1,1,0))</f>
        <v>0</v>
      </c>
      <c r="E6" s="153">
        <f>IF('Exp. Details'!$C$8="Pulse",0,'Seaweed details'!$D$5*'Exp. Details'!$C$6*'Exp. Details'!$C$9*IF('Exp. Details'!$C$10&gt;2,1,0))</f>
        <v>0</v>
      </c>
      <c r="F6" s="153">
        <f>IF('Exp. Details'!$C$8="Pulse",0,'Seaweed details'!$D$5*'Exp. Details'!$C$6*'Exp. Details'!$C$9*IF('Exp. Details'!$C$10&gt;3,1,0))</f>
        <v>0</v>
      </c>
      <c r="G6" s="153">
        <f>IF('Exp. Details'!$C$8="Pulse",0,'Seaweed details'!$D$5*'Exp. Details'!$C$6*'Exp. Details'!$C$9*IF('Exp. Details'!$C$10&gt;4,1,0))</f>
        <v>0</v>
      </c>
      <c r="H6" s="10" t="s">
        <v>67</v>
      </c>
      <c r="I6" s="156">
        <f>SUM(C6:G6)</f>
        <v>202.88400000000001</v>
      </c>
      <c r="J6" s="3"/>
    </row>
    <row r="7" spans="2:27" ht="21" customHeight="1">
      <c r="B7" s="127" t="s">
        <v>68</v>
      </c>
      <c r="C7" s="154">
        <f>'Seaweed details'!$D$11*C6</f>
        <v>202.88400000000001</v>
      </c>
      <c r="D7" s="155">
        <f>'Seaweed details'!$D$11*D6</f>
        <v>0</v>
      </c>
      <c r="E7" s="155">
        <f>'Seaweed details'!$D$11*E6</f>
        <v>0</v>
      </c>
      <c r="F7" s="155">
        <f>'Seaweed details'!$D$11*F6</f>
        <v>0</v>
      </c>
      <c r="G7" s="155">
        <f>'Seaweed details'!$D$11*G6</f>
        <v>0</v>
      </c>
      <c r="H7" s="81" t="s">
        <v>69</v>
      </c>
      <c r="I7" s="157">
        <f>SUM(C7:G7)</f>
        <v>202.88400000000001</v>
      </c>
      <c r="J7" s="3"/>
      <c r="P7" s="4"/>
    </row>
    <row r="8" spans="2:27" ht="30" customHeight="1">
      <c r="B8" s="127" t="s">
        <v>70</v>
      </c>
      <c r="C8" s="155">
        <f>'Seaweed details'!$D$12*C6</f>
        <v>20.288400000000003</v>
      </c>
      <c r="D8" s="155">
        <f>'Seaweed details'!$D$12*D6</f>
        <v>0</v>
      </c>
      <c r="E8" s="155">
        <f>'Seaweed details'!$D$12*E6</f>
        <v>0</v>
      </c>
      <c r="F8" s="155">
        <f>'Seaweed details'!$D$12*F6</f>
        <v>0</v>
      </c>
      <c r="G8" s="155">
        <f>'Seaweed details'!$D$12*G6</f>
        <v>0</v>
      </c>
      <c r="H8" s="81" t="s">
        <v>69</v>
      </c>
      <c r="I8" s="157">
        <f>SUM(C8:G8)</f>
        <v>20.288400000000003</v>
      </c>
      <c r="J8" s="3"/>
      <c r="P8" s="4"/>
    </row>
    <row r="9" spans="2:27" ht="24" customHeight="1">
      <c r="B9" s="128" t="s">
        <v>71</v>
      </c>
      <c r="C9" s="268">
        <f>SUM(C7:C8)</f>
        <v>223.17240000000001</v>
      </c>
      <c r="D9" s="268">
        <f t="shared" ref="D9:G9" si="1">SUM(D7:D8)</f>
        <v>0</v>
      </c>
      <c r="E9" s="268">
        <f t="shared" si="1"/>
        <v>0</v>
      </c>
      <c r="F9" s="268">
        <f t="shared" si="1"/>
        <v>0</v>
      </c>
      <c r="G9" s="268">
        <f t="shared" si="1"/>
        <v>0</v>
      </c>
      <c r="H9" s="266"/>
      <c r="I9" s="267">
        <f>SUM(C9:G9)</f>
        <v>223.17240000000001</v>
      </c>
      <c r="J9" s="3"/>
      <c r="P9" s="4"/>
    </row>
    <row r="10" spans="2:27" ht="9.75" customHeight="1">
      <c r="B10" s="128"/>
      <c r="C10" s="268"/>
      <c r="D10" s="268"/>
      <c r="E10" s="268"/>
      <c r="F10" s="268"/>
      <c r="G10" s="268"/>
      <c r="H10" s="266"/>
      <c r="I10" s="269"/>
      <c r="J10" s="3"/>
      <c r="P10" s="4"/>
    </row>
    <row r="11" spans="2:27" ht="18" customHeight="1">
      <c r="B11" s="127" t="s">
        <v>72</v>
      </c>
      <c r="C11" s="271">
        <f>IF('Exp. Details'!$C$9=0,'Seaweed details'!$D$13*'Exp. Details'!C6,'Exp. Details'!$C$9*'Seaweed details'!$D$13*'Exp. Details'!C6)</f>
        <v>3</v>
      </c>
      <c r="D11" s="271">
        <f>IF('Exp. Details'!$C$10&gt;1,$C$11,0)</f>
        <v>0</v>
      </c>
      <c r="E11" s="271">
        <f>IF('Exp. Details'!$C$10&gt;2,$C$11,0)</f>
        <v>0</v>
      </c>
      <c r="F11" s="271">
        <f>IF('Exp. Details'!$C$10&gt;3,$C$11,0)</f>
        <v>0</v>
      </c>
      <c r="G11" s="271">
        <f>IF('Exp. Details'!$C$10&gt;4,$C$11,0)</f>
        <v>0</v>
      </c>
      <c r="H11" s="10"/>
      <c r="I11" s="162">
        <f t="shared" ref="I11:I12" si="2">SUM(C11:G11)</f>
        <v>3</v>
      </c>
      <c r="J11" s="3"/>
      <c r="P11" s="4"/>
    </row>
    <row r="12" spans="2:27" ht="14.25" customHeight="1">
      <c r="B12" s="64" t="s">
        <v>73</v>
      </c>
      <c r="C12" s="163">
        <f>IF('Exp. Details'!$C$8="Pulse",'Ship-ROV req.'!$D$23+'Seaweed details'!$D$9*'Exp. Details'!$C$6,'Ship-ROV req.'!$D$23+'Seaweed details'!$D$9*'Exp. Details'!$C$6*'Exp. Details'!$C$9)</f>
        <v>25</v>
      </c>
      <c r="D12" s="163">
        <f>IF('Exp. Details'!$C$8="Pulse",0,(IF('Exp. Details'!$C$10&gt;1,'Exp. Details'!$C$9*'Seaweed details'!$D$9*'Exp. Details'!$C$6+'Seaweed details'!$D$13,0)))</f>
        <v>0</v>
      </c>
      <c r="E12" s="163">
        <f>IF('Exp. Details'!$C$8="Pulse",0,(IF('Exp. Details'!$C$10&gt;2,'Exp. Details'!$C$9*'Seaweed details'!$D$9*'Exp. Details'!$C$6+'Seaweed details'!$D$13,0)))</f>
        <v>0</v>
      </c>
      <c r="F12" s="163">
        <f>IF('Exp. Details'!$C$8="Pulse",0,(IF('Exp. Details'!$C$10&gt;3,'Exp. Details'!$C$9*'Seaweed details'!$D$9*'Exp. Details'!$C$6+'Seaweed details'!$D$13,0)))</f>
        <v>0</v>
      </c>
      <c r="G12" s="163">
        <f>IF('Exp. Details'!$C$8="Pulse",0,(IF('Exp. Details'!$C$10&gt;4,'Exp. Details'!$C$9*'Seaweed details'!$D$9*'Exp. Details'!$C$6+'Seaweed details'!$D$13,0)))</f>
        <v>0</v>
      </c>
      <c r="H12" s="10"/>
      <c r="I12" s="162">
        <f t="shared" si="2"/>
        <v>25</v>
      </c>
      <c r="J12" s="3"/>
      <c r="P12" s="4"/>
    </row>
    <row r="13" spans="2:27" ht="20.100000000000001">
      <c r="B13" s="128" t="s">
        <v>74</v>
      </c>
      <c r="C13" s="270">
        <f>C11+C12</f>
        <v>28</v>
      </c>
      <c r="D13" s="270">
        <f t="shared" ref="D13:G13" si="3">D11+D12</f>
        <v>0</v>
      </c>
      <c r="E13" s="270">
        <f t="shared" si="3"/>
        <v>0</v>
      </c>
      <c r="F13" s="270">
        <f t="shared" si="3"/>
        <v>0</v>
      </c>
      <c r="G13" s="270">
        <f t="shared" si="3"/>
        <v>0</v>
      </c>
      <c r="H13" s="158" t="s">
        <v>75</v>
      </c>
      <c r="I13" s="159">
        <f>SUM(C13:G13)</f>
        <v>28</v>
      </c>
      <c r="J13" s="3"/>
      <c r="P13" s="4"/>
    </row>
    <row r="14" spans="2:27" ht="12" customHeight="1">
      <c r="B14" s="129"/>
      <c r="C14" s="13"/>
      <c r="D14" s="13"/>
      <c r="E14" s="13"/>
      <c r="F14" s="10"/>
      <c r="G14" s="13"/>
      <c r="H14" s="10"/>
      <c r="I14" s="10"/>
      <c r="J14" s="3"/>
      <c r="P14" s="4"/>
    </row>
    <row r="15" spans="2:27" ht="23.25" customHeight="1">
      <c r="B15" s="130" t="s">
        <v>76</v>
      </c>
      <c r="C15" s="13"/>
      <c r="D15" s="13"/>
      <c r="E15" s="13"/>
      <c r="F15" s="13"/>
      <c r="G15" s="13"/>
      <c r="H15" s="10"/>
      <c r="I15" s="10"/>
      <c r="J15" s="3"/>
      <c r="P15" s="4"/>
    </row>
    <row r="16" spans="2:27" ht="17.100000000000001">
      <c r="B16" s="131" t="s">
        <v>77</v>
      </c>
      <c r="C16" s="160">
        <f>('Exp. Details'!$C$6+'Exp. Details'!$C$7)</f>
        <v>6</v>
      </c>
      <c r="D16" s="160">
        <f t="shared" ref="D16:G16" si="4">C16</f>
        <v>6</v>
      </c>
      <c r="E16" s="160">
        <f t="shared" si="4"/>
        <v>6</v>
      </c>
      <c r="F16" s="160">
        <f t="shared" si="4"/>
        <v>6</v>
      </c>
      <c r="G16" s="160">
        <f t="shared" si="4"/>
        <v>6</v>
      </c>
      <c r="H16" s="10"/>
      <c r="I16" s="162">
        <f>SUM(C16:G16)</f>
        <v>30</v>
      </c>
      <c r="J16" s="3"/>
      <c r="P16" s="4"/>
    </row>
    <row r="17" spans="1:27" ht="17.100000000000001">
      <c r="B17" s="131" t="s">
        <v>78</v>
      </c>
      <c r="C17" s="160">
        <f>'Exp. Details'!C12</f>
        <v>3</v>
      </c>
      <c r="D17" s="160">
        <f>IF('Exp. Details'!$C$11&gt;1,'Exp. Details'!$C$13,0)</f>
        <v>1</v>
      </c>
      <c r="E17" s="160">
        <f>IF('Exp. Details'!$C$11&gt;2,'Exp. Details'!$C$13,0)</f>
        <v>1</v>
      </c>
      <c r="F17" s="160">
        <f>IF('Exp. Details'!$C$11&gt;3,'Exp. Details'!$C$13,0)</f>
        <v>0</v>
      </c>
      <c r="G17" s="160">
        <f>IF('Exp. Details'!$C$11&gt;4,'Exp. Details'!$C$13,0)</f>
        <v>0</v>
      </c>
      <c r="H17" s="10"/>
      <c r="I17" s="162">
        <f>SUM(C17:G17)</f>
        <v>5</v>
      </c>
      <c r="J17" s="3"/>
      <c r="P17" s="4"/>
    </row>
    <row r="18" spans="1:27" ht="17.100000000000001">
      <c r="B18" s="131" t="s">
        <v>79</v>
      </c>
      <c r="C18" s="160">
        <f>C16*C17</f>
        <v>18</v>
      </c>
      <c r="D18" s="160">
        <f t="shared" ref="D18:G18" si="5">D16*D17</f>
        <v>6</v>
      </c>
      <c r="E18" s="160">
        <f t="shared" si="5"/>
        <v>6</v>
      </c>
      <c r="F18" s="160">
        <f t="shared" si="5"/>
        <v>0</v>
      </c>
      <c r="G18" s="160">
        <f t="shared" si="5"/>
        <v>0</v>
      </c>
      <c r="H18" s="10"/>
      <c r="I18" s="162">
        <f>SUM(C18:G18)</f>
        <v>30</v>
      </c>
      <c r="J18" s="3"/>
      <c r="P18" s="4"/>
    </row>
    <row r="19" spans="1:27" ht="7.5" customHeight="1">
      <c r="B19" s="129"/>
      <c r="C19" s="13"/>
      <c r="D19" s="13"/>
      <c r="E19" s="13"/>
      <c r="F19" s="13"/>
      <c r="G19" s="13"/>
      <c r="H19" s="10"/>
      <c r="I19" s="10"/>
      <c r="J19" s="3"/>
      <c r="P19" s="4"/>
    </row>
    <row r="20" spans="1:27" ht="28.5" customHeight="1">
      <c r="B20" s="128" t="s">
        <v>80</v>
      </c>
      <c r="C20" s="161">
        <f>IF(C17&gt;0,Moorings!$E$28,0)</f>
        <v>6</v>
      </c>
      <c r="D20" s="161">
        <f>IF(D17&gt;0,Moorings!$E$28,0)</f>
        <v>6</v>
      </c>
      <c r="E20" s="161">
        <f>IF(E17&gt;0,Moorings!$E$28,0)</f>
        <v>6</v>
      </c>
      <c r="F20" s="161">
        <f>IF(F17&gt;0,Moorings!$E$28,0)</f>
        <v>0</v>
      </c>
      <c r="G20" s="161">
        <f>IF(G17&gt;0,Moorings!$E$28,0)</f>
        <v>0</v>
      </c>
      <c r="H20" s="78" t="s">
        <v>75</v>
      </c>
      <c r="I20" s="159">
        <f>SUM(C20:G20)</f>
        <v>18</v>
      </c>
      <c r="J20" s="3"/>
      <c r="N20" s="2"/>
      <c r="P20" s="4"/>
    </row>
    <row r="21" spans="1:27" ht="11.25" customHeight="1">
      <c r="B21" s="129"/>
      <c r="C21" s="13"/>
      <c r="D21" s="13"/>
      <c r="E21" s="13"/>
      <c r="F21" s="10"/>
      <c r="G21" s="13"/>
      <c r="H21" s="16"/>
      <c r="I21" s="10"/>
      <c r="J21" s="3"/>
      <c r="N21" s="2"/>
      <c r="P21" s="4"/>
    </row>
    <row r="22" spans="1:27" ht="24.75" customHeight="1">
      <c r="B22" s="130" t="s">
        <v>81</v>
      </c>
      <c r="C22" s="13"/>
      <c r="D22" s="13"/>
      <c r="E22" s="13"/>
      <c r="F22" s="10"/>
      <c r="G22" s="13"/>
      <c r="H22" s="16"/>
      <c r="I22" s="10"/>
      <c r="J22" s="3"/>
      <c r="N22" s="2"/>
      <c r="P22" s="4"/>
    </row>
    <row r="23" spans="1:27" ht="21.75" customHeight="1">
      <c r="B23" s="64" t="s">
        <v>82</v>
      </c>
      <c r="C23" s="163">
        <f>C$18*'Ship-ROV req.'!$D$11</f>
        <v>18</v>
      </c>
      <c r="D23" s="163">
        <f>D$18*'Ship-ROV req.'!$D$11</f>
        <v>6</v>
      </c>
      <c r="E23" s="163">
        <f>E$18*'Ship-ROV req.'!$D$11</f>
        <v>6</v>
      </c>
      <c r="F23" s="163">
        <f>F$18*'Ship-ROV req.'!$D$11</f>
        <v>0</v>
      </c>
      <c r="G23" s="163">
        <f>G$18*'Ship-ROV req.'!$D$11</f>
        <v>0</v>
      </c>
      <c r="H23" s="16" t="s">
        <v>75</v>
      </c>
      <c r="I23" s="162">
        <f>SUM(C23:G23)</f>
        <v>30</v>
      </c>
      <c r="J23" s="3"/>
      <c r="N23" s="2"/>
      <c r="P23" s="4"/>
    </row>
    <row r="24" spans="1:27" ht="36" customHeight="1">
      <c r="B24" s="129" t="s">
        <v>83</v>
      </c>
      <c r="C24" s="163">
        <f>C$18*'Ship-ROV req.'!$D$7</f>
        <v>18</v>
      </c>
      <c r="D24" s="163">
        <f>D$18*'Ship-ROV req.'!$D$7</f>
        <v>6</v>
      </c>
      <c r="E24" s="163">
        <f>E$18*'Ship-ROV req.'!$D$7</f>
        <v>6</v>
      </c>
      <c r="F24" s="163">
        <f>F$18*'Ship-ROV req.'!$D$7</f>
        <v>0</v>
      </c>
      <c r="G24" s="163">
        <f>G$18*'Ship-ROV req.'!$D$7</f>
        <v>0</v>
      </c>
      <c r="H24" s="16" t="s">
        <v>75</v>
      </c>
      <c r="I24" s="162">
        <f>SUM(C24:G24)</f>
        <v>30</v>
      </c>
      <c r="J24" s="3"/>
    </row>
    <row r="25" spans="1:27" ht="15.75" customHeight="1">
      <c r="B25" s="64" t="s">
        <v>84</v>
      </c>
      <c r="C25" s="225">
        <f>C17*2*'Ship-ROV req.'!$D$23</f>
        <v>6</v>
      </c>
      <c r="D25" s="225">
        <f>D17*2*'Ship-ROV req.'!$D$23</f>
        <v>2</v>
      </c>
      <c r="E25" s="225">
        <f>E17*2*'Ship-ROV req.'!$D$23</f>
        <v>2</v>
      </c>
      <c r="F25" s="225">
        <f>F17*2*'Ship-ROV req.'!$D$23</f>
        <v>0</v>
      </c>
      <c r="G25" s="225">
        <f>G17*2*'Ship-ROV req.'!$D$23</f>
        <v>0</v>
      </c>
      <c r="H25" s="64"/>
      <c r="I25" s="162">
        <f>SUM(C25:G25)</f>
        <v>10</v>
      </c>
      <c r="J25" s="3"/>
    </row>
    <row r="26" spans="1:27" ht="27.75" customHeight="1">
      <c r="A26" s="18"/>
      <c r="B26" s="129" t="s">
        <v>85</v>
      </c>
      <c r="C26" s="160">
        <v>1</v>
      </c>
      <c r="D26" s="160">
        <f>'Ship-ROV req.'!$D$13</f>
        <v>1</v>
      </c>
      <c r="E26" s="160">
        <f>'Ship-ROV req.'!$D$13</f>
        <v>1</v>
      </c>
      <c r="F26" s="160">
        <f>'Ship-ROV req.'!$D$13</f>
        <v>1</v>
      </c>
      <c r="G26" s="160">
        <f>'Ship-ROV req.'!$D$13</f>
        <v>1</v>
      </c>
      <c r="H26" s="16" t="s">
        <v>75</v>
      </c>
      <c r="I26" s="162"/>
      <c r="J26" s="3"/>
      <c r="Q26" s="18"/>
      <c r="R26" s="18"/>
      <c r="W26" s="18"/>
      <c r="X26" s="18"/>
      <c r="Y26" s="18"/>
      <c r="Z26" s="18"/>
      <c r="AA26" s="18"/>
    </row>
    <row r="27" spans="1:27" ht="25.5" customHeight="1">
      <c r="B27" s="128" t="s">
        <v>86</v>
      </c>
      <c r="C27" s="164">
        <f>IF(C26=1,SUM(C23:C24)*0.666,SUM(C23:C24))</f>
        <v>23.976000000000003</v>
      </c>
      <c r="D27" s="164">
        <f t="shared" ref="D27:G27" si="6">IF(D26=1,SUM(D23:D24)*0.666,SUM(D23:D24))</f>
        <v>7.9920000000000009</v>
      </c>
      <c r="E27" s="164">
        <f t="shared" si="6"/>
        <v>7.9920000000000009</v>
      </c>
      <c r="F27" s="164">
        <f t="shared" si="6"/>
        <v>0</v>
      </c>
      <c r="G27" s="164">
        <f t="shared" si="6"/>
        <v>0</v>
      </c>
      <c r="H27" s="140" t="s">
        <v>75</v>
      </c>
      <c r="I27" s="170">
        <f t="shared" ref="I27" si="7">SUM(C27:G27)</f>
        <v>39.960000000000008</v>
      </c>
      <c r="J27" s="3"/>
    </row>
    <row r="28" spans="1:27" ht="15.75" customHeight="1">
      <c r="B28" s="130" t="s">
        <v>87</v>
      </c>
      <c r="C28" s="164">
        <f>IF('Exp. Details'!$C$11&gt;0,SUM(C27,C20,C13)+2*'Ship-ROV req.'!$D23,0)</f>
        <v>59.975999999999999</v>
      </c>
      <c r="D28" s="164">
        <f>IF('Exp. Details'!$C$11&gt;1,SUM(D27,D20,D13)+2*'Ship-ROV req.'!$D23,0)</f>
        <v>15.992000000000001</v>
      </c>
      <c r="E28" s="164">
        <f>IF('Exp. Details'!$C$11&gt;2,SUM(E27,E20,E13)+2*'Ship-ROV req.'!$D23,0)</f>
        <v>15.992000000000001</v>
      </c>
      <c r="F28" s="164">
        <f>IF('Exp. Details'!$C$11&gt;3,SUM(F27,F20,F13)+2*'Ship-ROV req.'!$D23,0)</f>
        <v>0</v>
      </c>
      <c r="G28" s="164">
        <f>IF('Exp. Details'!$C$11&gt;4,SUM(G27,G20,G13)+2*'Ship-ROV req.'!$D23,0)</f>
        <v>0</v>
      </c>
      <c r="H28" s="140" t="s">
        <v>75</v>
      </c>
      <c r="I28" s="170">
        <f>SUM(C28:G28)</f>
        <v>91.960000000000008</v>
      </c>
      <c r="J28" s="3"/>
    </row>
    <row r="29" spans="1:27" ht="8.25" customHeight="1">
      <c r="B29" s="132"/>
      <c r="C29" s="12"/>
      <c r="D29" s="10"/>
      <c r="E29" s="17"/>
      <c r="F29" s="17"/>
      <c r="G29" s="15"/>
      <c r="H29" s="15"/>
      <c r="I29" s="133"/>
      <c r="J29" s="3"/>
    </row>
    <row r="30" spans="1:27" ht="15.75" customHeight="1">
      <c r="B30" s="134" t="s">
        <v>88</v>
      </c>
      <c r="C30" s="12"/>
      <c r="D30" s="10"/>
      <c r="E30" s="17"/>
      <c r="F30" s="17"/>
      <c r="G30" s="15"/>
      <c r="H30" s="15"/>
      <c r="I30" s="133"/>
      <c r="J30" s="3"/>
    </row>
    <row r="31" spans="1:27" ht="21.75" customHeight="1">
      <c r="B31" s="129" t="s">
        <v>89</v>
      </c>
      <c r="C31" s="155">
        <f>(C13+C20+C25)*'Ship-ROV req.'!$D$29</f>
        <v>1400</v>
      </c>
      <c r="D31" s="155">
        <f>(D13+D20+D25)*'Ship-ROV req.'!$D$29</f>
        <v>280</v>
      </c>
      <c r="E31" s="155">
        <f>(E13+E20+E25)*'Ship-ROV req.'!$D$29</f>
        <v>280</v>
      </c>
      <c r="F31" s="155">
        <f>(F13+F20+F25)*'Ship-ROV req.'!$D$29</f>
        <v>0</v>
      </c>
      <c r="G31" s="155">
        <f>(G13+G20+G25)*'Ship-ROV req.'!$D$29</f>
        <v>0</v>
      </c>
      <c r="H31" s="81" t="s">
        <v>69</v>
      </c>
      <c r="I31" s="157">
        <f>SUM(C31:G31)</f>
        <v>1960</v>
      </c>
      <c r="J31" s="3"/>
    </row>
    <row r="32" spans="1:27" ht="27" customHeight="1">
      <c r="B32" s="129" t="s">
        <v>90</v>
      </c>
      <c r="C32" s="155">
        <f>C27*'Ship-ROV req.'!$D$30</f>
        <v>1198.8000000000002</v>
      </c>
      <c r="D32" s="155">
        <f>D27*'Ship-ROV req.'!$D$30</f>
        <v>399.6</v>
      </c>
      <c r="E32" s="155">
        <f>E27*'Ship-ROV req.'!$D$30</f>
        <v>399.6</v>
      </c>
      <c r="F32" s="155">
        <f>F27*'Ship-ROV req.'!$D$30</f>
        <v>0</v>
      </c>
      <c r="G32" s="155">
        <f>G27*'Ship-ROV req.'!$D$30</f>
        <v>0</v>
      </c>
      <c r="H32" s="81" t="s">
        <v>69</v>
      </c>
      <c r="I32" s="157">
        <f>SUM(C32:G32)</f>
        <v>1998</v>
      </c>
      <c r="J32" s="3"/>
      <c r="N32" s="2"/>
      <c r="P32" s="4"/>
    </row>
    <row r="33" spans="2:16" ht="27.75" customHeight="1">
      <c r="B33" s="135" t="s">
        <v>91</v>
      </c>
      <c r="C33" s="165">
        <f>SUM(C31:C32)</f>
        <v>2598.8000000000002</v>
      </c>
      <c r="D33" s="165">
        <f t="shared" ref="D33:G33" si="8">SUM(D31:D32)</f>
        <v>679.6</v>
      </c>
      <c r="E33" s="165">
        <f t="shared" si="8"/>
        <v>679.6</v>
      </c>
      <c r="F33" s="165">
        <f t="shared" si="8"/>
        <v>0</v>
      </c>
      <c r="G33" s="165">
        <f t="shared" si="8"/>
        <v>0</v>
      </c>
      <c r="H33" s="83" t="s">
        <v>69</v>
      </c>
      <c r="I33" s="169">
        <f>SUM(C33:G33)</f>
        <v>3958</v>
      </c>
      <c r="J33" s="3"/>
      <c r="N33" s="2"/>
      <c r="P33" s="4"/>
    </row>
    <row r="34" spans="2:16" ht="12" customHeight="1">
      <c r="B34" s="136"/>
      <c r="C34" s="84"/>
      <c r="D34" s="83"/>
      <c r="E34" s="85"/>
      <c r="F34" s="85"/>
      <c r="G34" s="86"/>
      <c r="H34" s="86"/>
      <c r="I34" s="137"/>
      <c r="J34" s="3"/>
      <c r="N34" s="2"/>
      <c r="P34" s="4"/>
    </row>
    <row r="35" spans="2:16" ht="30.75" customHeight="1">
      <c r="B35" s="138" t="s">
        <v>92</v>
      </c>
      <c r="C35" s="166">
        <f>Moorings!H29+'Sensor platforms'!I29</f>
        <v>4382.6000000000004</v>
      </c>
      <c r="D35" s="166">
        <v>0</v>
      </c>
      <c r="E35" s="166">
        <v>0</v>
      </c>
      <c r="F35" s="166">
        <v>0</v>
      </c>
      <c r="G35" s="166">
        <v>0</v>
      </c>
      <c r="H35" s="83" t="s">
        <v>69</v>
      </c>
      <c r="I35" s="169">
        <f>SUM(C35:G35)</f>
        <v>4382.6000000000004</v>
      </c>
      <c r="J35" s="3"/>
    </row>
    <row r="36" spans="2:16" ht="13.5" customHeight="1">
      <c r="B36" s="136"/>
      <c r="C36" s="84"/>
      <c r="D36" s="83"/>
      <c r="E36" s="85"/>
      <c r="F36" s="85"/>
      <c r="G36" s="86"/>
      <c r="H36" s="86"/>
      <c r="I36" s="137"/>
      <c r="J36" s="3"/>
    </row>
    <row r="37" spans="2:16" ht="27.75" customHeight="1">
      <c r="B37" s="135" t="s">
        <v>93</v>
      </c>
      <c r="C37" s="165">
        <f>'Sample Analysis Costs'!$F$20*C$16*C$17</f>
        <v>531</v>
      </c>
      <c r="D37" s="165">
        <f>'Sample Analysis Costs'!$F$20*D$16*D$17</f>
        <v>177</v>
      </c>
      <c r="E37" s="165">
        <f>'Sample Analysis Costs'!$F$20*E$16*E$17</f>
        <v>177</v>
      </c>
      <c r="F37" s="165">
        <f>'Sample Analysis Costs'!$F$20*F$16*F$17</f>
        <v>0</v>
      </c>
      <c r="G37" s="165">
        <f>'Sample Analysis Costs'!$F$20*G$16*G$17</f>
        <v>0</v>
      </c>
      <c r="H37" s="83" t="s">
        <v>69</v>
      </c>
      <c r="I37" s="169">
        <f>SUM(C37:G37)</f>
        <v>885</v>
      </c>
      <c r="J37" s="3"/>
    </row>
    <row r="38" spans="2:16" ht="11.25" customHeight="1" thickBot="1">
      <c r="B38" s="247"/>
      <c r="C38" s="249"/>
      <c r="D38" s="249"/>
      <c r="E38" s="249"/>
      <c r="F38" s="249"/>
      <c r="G38" s="249"/>
      <c r="H38" s="248"/>
      <c r="I38" s="250"/>
      <c r="J38" s="3"/>
    </row>
    <row r="39" spans="2:16" ht="26.25" customHeight="1" thickBot="1">
      <c r="B39" s="256" t="s">
        <v>94</v>
      </c>
      <c r="C39" s="265">
        <f>SUM(C9,C33,C35,C37,C42)*'Exp. Details'!$C$14/100</f>
        <v>51.146612000000005</v>
      </c>
      <c r="D39" s="265">
        <f>SUM(D9,D33,D35,D37,D42)*'Exp. Details'!$C$14/100</f>
        <v>16.751750000000001</v>
      </c>
      <c r="E39" s="265">
        <f>SUM(E9,E33,E35,E37,E42)*'Exp. Details'!$C$14/100</f>
        <v>16.751750000000001</v>
      </c>
      <c r="F39" s="265">
        <f>SUM(F9,F33,F35,F37,F42)*'Exp. Details'!$C$14/100</f>
        <v>0</v>
      </c>
      <c r="G39" s="265">
        <f>SUM(G9,G33,G35,G37,G42)*'Exp. Details'!$C$14/100</f>
        <v>0</v>
      </c>
      <c r="H39" s="83" t="s">
        <v>69</v>
      </c>
      <c r="I39" s="257">
        <f>SUM(C39:G39)</f>
        <v>84.650112000000007</v>
      </c>
      <c r="J39" s="3"/>
    </row>
    <row r="40" spans="2:16" ht="12" customHeight="1">
      <c r="B40" s="251"/>
      <c r="C40" s="264"/>
      <c r="D40" s="252"/>
      <c r="E40" s="253"/>
      <c r="F40" s="253"/>
      <c r="G40" s="254"/>
      <c r="H40" s="254"/>
      <c r="I40" s="255"/>
      <c r="J40" s="3"/>
    </row>
    <row r="41" spans="2:16" ht="15.75" customHeight="1">
      <c r="B41" s="135" t="s">
        <v>95</v>
      </c>
      <c r="C41" s="87"/>
      <c r="D41" s="87"/>
      <c r="E41" s="87"/>
      <c r="F41" s="83"/>
      <c r="G41" s="87"/>
      <c r="H41" s="88"/>
      <c r="I41" s="88"/>
      <c r="J41" s="3"/>
    </row>
    <row r="42" spans="2:16" ht="25.5" customHeight="1" thickBot="1">
      <c r="B42" s="316" t="s">
        <v>96</v>
      </c>
      <c r="C42" s="167">
        <f>'Labor Costs'!G12</f>
        <v>2493.75</v>
      </c>
      <c r="D42" s="167">
        <f>IF('Exp. Details'!$C$11&gt;1,$C42,0)</f>
        <v>2493.75</v>
      </c>
      <c r="E42" s="167">
        <f>IF('Exp. Details'!$C$11&gt;2,$C42,0)</f>
        <v>2493.75</v>
      </c>
      <c r="F42" s="167">
        <f>IF('Exp. Details'!$C$11&gt;3,$C42,0)</f>
        <v>0</v>
      </c>
      <c r="G42" s="167">
        <f>IF('Exp. Details'!$C$11&gt;4,$C42,0)</f>
        <v>0</v>
      </c>
      <c r="H42" s="139" t="s">
        <v>69</v>
      </c>
      <c r="I42" s="168">
        <f>SUM(C42:G42)</f>
        <v>7481.25</v>
      </c>
      <c r="J42" s="3"/>
    </row>
    <row r="43" spans="2:16" ht="24.75" customHeight="1">
      <c r="B43" s="3"/>
      <c r="C43" s="3"/>
      <c r="D43" s="3"/>
      <c r="E43" s="3"/>
      <c r="F43" s="3"/>
      <c r="G43" s="3"/>
      <c r="H43" s="3"/>
      <c r="I43" s="3"/>
      <c r="J43" s="3"/>
    </row>
    <row r="44" spans="2:16" ht="15.75" customHeight="1">
      <c r="B44" s="182" t="s">
        <v>97</v>
      </c>
      <c r="C44" s="180" t="s">
        <v>98</v>
      </c>
      <c r="D44" s="3"/>
      <c r="E44" s="3"/>
      <c r="F44" s="3"/>
      <c r="G44" s="3"/>
      <c r="H44" s="3"/>
      <c r="I44" s="3"/>
      <c r="J44" s="3"/>
    </row>
    <row r="45" spans="2:16" ht="15.75" customHeight="1">
      <c r="B45" s="181" t="s">
        <v>99</v>
      </c>
      <c r="C45" s="180" t="s">
        <v>100</v>
      </c>
      <c r="D45" s="3"/>
      <c r="E45" s="3"/>
      <c r="F45" s="3"/>
      <c r="G45" s="3"/>
      <c r="H45" s="3"/>
      <c r="I45" s="3"/>
      <c r="J45" s="3"/>
    </row>
    <row r="46" spans="2:16" ht="15.75" customHeight="1">
      <c r="B46" s="3"/>
      <c r="C46" s="3"/>
      <c r="D46" s="3"/>
      <c r="E46" s="3"/>
      <c r="F46" s="3"/>
      <c r="G46" s="3"/>
      <c r="H46" s="3"/>
      <c r="I46" s="3"/>
      <c r="J46" s="3"/>
    </row>
    <row r="47" spans="2:16" ht="15.75" customHeight="1">
      <c r="B47" s="3"/>
      <c r="C47" s="3"/>
      <c r="D47" s="3"/>
      <c r="E47" s="3"/>
      <c r="F47" s="3"/>
      <c r="G47" s="3"/>
      <c r="H47" s="3"/>
      <c r="I47" s="3"/>
      <c r="J47" s="3"/>
    </row>
    <row r="48" spans="2:16" ht="15.75" customHeight="1">
      <c r="C48" s="1"/>
      <c r="D48" s="2"/>
      <c r="E48" s="3"/>
      <c r="F48" s="3"/>
    </row>
    <row r="49" spans="3:16" ht="15.75" customHeight="1">
      <c r="C49" s="1"/>
      <c r="D49" s="2"/>
      <c r="E49" s="3"/>
      <c r="F49" s="3"/>
    </row>
    <row r="50" spans="3:16" ht="45.75" customHeight="1">
      <c r="C50" s="1"/>
      <c r="D50" s="2"/>
      <c r="E50" s="3"/>
      <c r="F50" s="3"/>
    </row>
    <row r="51" spans="3:16" ht="15.75" customHeight="1">
      <c r="C51" s="1"/>
      <c r="D51" s="2"/>
      <c r="E51" s="3"/>
      <c r="F51" s="3"/>
      <c r="N51" s="2"/>
      <c r="P51" s="4"/>
    </row>
    <row r="52" spans="3:16" ht="15.75" customHeight="1">
      <c r="C52" s="1"/>
      <c r="D52" s="2"/>
      <c r="E52" s="3"/>
      <c r="F52" s="3"/>
      <c r="N52" s="2"/>
      <c r="P52" s="4"/>
    </row>
    <row r="53" spans="3:16" ht="15.75" customHeight="1">
      <c r="C53" s="1"/>
      <c r="D53" s="2"/>
      <c r="E53" s="3"/>
      <c r="F53" s="3"/>
      <c r="N53" s="2"/>
      <c r="P53" s="4"/>
    </row>
    <row r="54" spans="3:16" ht="15.75" customHeight="1">
      <c r="C54" s="1"/>
      <c r="D54" s="2"/>
      <c r="E54" s="3"/>
      <c r="F54" s="3"/>
      <c r="N54" s="2"/>
      <c r="P54" s="4"/>
    </row>
    <row r="55" spans="3:16" ht="15.75" customHeight="1">
      <c r="C55" s="1"/>
      <c r="D55" s="2"/>
      <c r="E55" s="3"/>
      <c r="F55" s="3"/>
      <c r="N55" s="2"/>
      <c r="P55" s="4"/>
    </row>
    <row r="56" spans="3:16" ht="15.75" customHeight="1">
      <c r="C56" s="1"/>
      <c r="D56" s="2"/>
      <c r="E56" s="3"/>
      <c r="F56" s="3"/>
      <c r="N56" s="2"/>
      <c r="P56" s="4"/>
    </row>
    <row r="57" spans="3:16" ht="15.75" customHeight="1">
      <c r="C57" s="1"/>
      <c r="D57" s="2"/>
      <c r="E57" s="3"/>
      <c r="F57" s="3"/>
      <c r="N57" s="2"/>
      <c r="P57" s="4"/>
    </row>
    <row r="58" spans="3:16" ht="15.75" customHeight="1">
      <c r="C58" s="1"/>
      <c r="D58" s="2"/>
      <c r="E58" s="3"/>
      <c r="F58" s="3"/>
      <c r="N58" s="2"/>
      <c r="P58" s="4"/>
    </row>
    <row r="59" spans="3:16" ht="15.75" customHeight="1">
      <c r="C59" s="1"/>
      <c r="D59" s="2"/>
      <c r="E59" s="3"/>
      <c r="F59" s="3"/>
      <c r="N59" s="2"/>
      <c r="P59" s="4"/>
    </row>
    <row r="60" spans="3:16" ht="15.75" customHeight="1">
      <c r="C60" s="1"/>
      <c r="D60" s="2"/>
      <c r="E60" s="3"/>
      <c r="F60" s="3"/>
      <c r="N60" s="2"/>
      <c r="P60" s="4"/>
    </row>
    <row r="61" spans="3:16" ht="39" customHeight="1">
      <c r="C61" s="1"/>
      <c r="D61" s="2"/>
      <c r="E61" s="3"/>
      <c r="F61" s="3"/>
      <c r="N61" s="2"/>
      <c r="P61" s="4"/>
    </row>
    <row r="62" spans="3:16" ht="54.75" customHeight="1">
      <c r="C62" s="1"/>
      <c r="D62" s="2"/>
      <c r="E62" s="3"/>
      <c r="F62" s="3"/>
      <c r="N62" s="2"/>
      <c r="P62" s="4"/>
    </row>
    <row r="63" spans="3:16" ht="15.75" customHeight="1">
      <c r="C63" s="1"/>
      <c r="D63" s="2"/>
      <c r="E63" s="3"/>
      <c r="F63" s="3"/>
      <c r="N63" s="2"/>
      <c r="P63" s="4"/>
    </row>
    <row r="64" spans="3:16" ht="15.75" customHeight="1">
      <c r="C64" s="1"/>
      <c r="D64" s="2"/>
      <c r="E64" s="3"/>
      <c r="F64" s="3"/>
      <c r="N64" s="2"/>
      <c r="P64" s="4"/>
    </row>
    <row r="65" spans="3:18" ht="25.5" customHeight="1">
      <c r="C65" s="1"/>
      <c r="D65" s="2"/>
      <c r="E65" s="3"/>
      <c r="F65" s="3"/>
      <c r="N65" s="2"/>
      <c r="P65" s="4"/>
    </row>
    <row r="66" spans="3:18" ht="42" customHeight="1">
      <c r="C66" s="1"/>
      <c r="D66" s="2"/>
      <c r="E66" s="3"/>
      <c r="F66" s="3"/>
      <c r="N66" s="2"/>
      <c r="P66" s="4"/>
    </row>
    <row r="67" spans="3:18" ht="15.75" customHeight="1">
      <c r="C67" s="1"/>
      <c r="D67" s="2"/>
      <c r="E67" s="3"/>
      <c r="F67" s="3"/>
      <c r="N67" s="2"/>
      <c r="P67" s="4"/>
    </row>
    <row r="68" spans="3:18" ht="15.75" customHeight="1">
      <c r="C68" s="1"/>
      <c r="D68" s="2"/>
      <c r="E68" s="3"/>
      <c r="F68" s="3"/>
      <c r="N68" s="2"/>
      <c r="P68" s="4"/>
    </row>
    <row r="69" spans="3:18" ht="15.75" customHeight="1">
      <c r="C69" s="1"/>
      <c r="D69" s="2"/>
      <c r="E69" s="3"/>
      <c r="F69" s="3"/>
      <c r="N69" s="2"/>
      <c r="P69" s="4"/>
    </row>
    <row r="70" spans="3:18" ht="15.75" customHeight="1">
      <c r="C70" s="1"/>
      <c r="D70" s="2"/>
      <c r="E70" s="3"/>
      <c r="F70" s="3"/>
      <c r="N70" s="2"/>
      <c r="P70" s="4"/>
    </row>
    <row r="71" spans="3:18" ht="15.75" customHeight="1">
      <c r="C71" s="1"/>
      <c r="D71" s="2"/>
      <c r="E71" s="3"/>
      <c r="F71" s="3"/>
      <c r="N71" s="2"/>
      <c r="P71" s="4"/>
    </row>
    <row r="72" spans="3:18" ht="15.75" customHeight="1">
      <c r="C72" s="1"/>
      <c r="D72" s="2"/>
      <c r="E72" s="3"/>
      <c r="F72" s="3"/>
      <c r="N72" s="2"/>
      <c r="P72" s="4"/>
    </row>
    <row r="73" spans="3:18" ht="15.75" customHeight="1">
      <c r="C73" s="1"/>
      <c r="D73" s="2"/>
      <c r="E73" s="3"/>
      <c r="F73" s="3"/>
      <c r="N73" s="21"/>
      <c r="P73" s="4"/>
      <c r="R73" s="2"/>
    </row>
    <row r="74" spans="3:18" ht="15.75" customHeight="1">
      <c r="C74" s="1"/>
      <c r="D74" s="2"/>
      <c r="E74" s="3"/>
      <c r="F74" s="3"/>
      <c r="N74" s="21"/>
      <c r="P74" s="4"/>
      <c r="R74" s="2"/>
    </row>
    <row r="75" spans="3:18" ht="15.75" customHeight="1">
      <c r="C75" s="1"/>
      <c r="D75" s="2"/>
      <c r="E75" s="3"/>
      <c r="F75" s="3"/>
      <c r="N75" s="21"/>
      <c r="P75" s="4"/>
      <c r="R75" s="2"/>
    </row>
    <row r="76" spans="3:18" ht="15.75" customHeight="1">
      <c r="C76" s="1"/>
      <c r="D76" s="2"/>
      <c r="E76" s="3"/>
      <c r="F76" s="3"/>
      <c r="N76" s="21"/>
      <c r="P76" s="4"/>
      <c r="R76" s="2"/>
    </row>
    <row r="77" spans="3:18" ht="15.75" customHeight="1">
      <c r="C77" s="1"/>
      <c r="D77" s="2"/>
      <c r="E77" s="3"/>
      <c r="F77" s="3"/>
      <c r="N77" s="21"/>
      <c r="P77" s="4"/>
      <c r="R77" s="2"/>
    </row>
    <row r="78" spans="3:18" ht="15.75" customHeight="1">
      <c r="C78" s="1"/>
      <c r="D78" s="2"/>
      <c r="E78" s="3"/>
      <c r="F78" s="3"/>
      <c r="N78" s="21"/>
      <c r="P78" s="4"/>
      <c r="R78" s="2"/>
    </row>
    <row r="79" spans="3:18" ht="15.75" customHeight="1">
      <c r="C79" s="1"/>
      <c r="D79" s="2"/>
      <c r="E79" s="3"/>
      <c r="F79" s="3"/>
      <c r="N79" s="21"/>
      <c r="P79" s="4"/>
      <c r="R79" s="2"/>
    </row>
    <row r="80" spans="3:18" ht="15.75" customHeight="1">
      <c r="C80" s="1"/>
      <c r="D80" s="2"/>
      <c r="E80" s="3"/>
      <c r="F80" s="3"/>
      <c r="N80" s="21"/>
      <c r="P80" s="4"/>
      <c r="R80" s="2"/>
    </row>
    <row r="81" spans="3:21" ht="15.75" customHeight="1">
      <c r="C81" s="1"/>
      <c r="D81" s="2"/>
      <c r="E81" s="3"/>
      <c r="F81" s="3"/>
      <c r="N81" s="21"/>
      <c r="P81" s="4"/>
      <c r="R81" s="2"/>
    </row>
    <row r="82" spans="3:21" ht="15.75" customHeight="1">
      <c r="C82" s="1"/>
      <c r="D82" s="2"/>
      <c r="E82" s="3"/>
      <c r="F82" s="3"/>
      <c r="N82" s="21"/>
      <c r="P82" s="4"/>
      <c r="R82" s="2"/>
    </row>
    <row r="83" spans="3:21" ht="15.75" customHeight="1">
      <c r="C83" s="1"/>
      <c r="D83" s="2"/>
      <c r="E83" s="3"/>
      <c r="F83" s="3"/>
      <c r="N83" s="21"/>
      <c r="P83" s="4"/>
      <c r="R83" s="2"/>
    </row>
    <row r="84" spans="3:21" ht="15.75" customHeight="1">
      <c r="C84" s="1"/>
      <c r="D84" s="2"/>
      <c r="E84" s="3"/>
      <c r="F84" s="3"/>
      <c r="N84" s="21"/>
      <c r="P84" s="4"/>
      <c r="R84" s="2"/>
    </row>
    <row r="85" spans="3:21" ht="15.75" customHeight="1">
      <c r="C85" s="1"/>
      <c r="D85" s="2"/>
      <c r="E85" s="3"/>
      <c r="F85" s="3"/>
      <c r="N85" s="21"/>
      <c r="P85" s="4"/>
      <c r="R85" s="2"/>
    </row>
    <row r="86" spans="3:21" ht="15.75" customHeight="1">
      <c r="C86" s="2"/>
      <c r="D86" s="2"/>
      <c r="E86" s="2"/>
      <c r="F86" s="2"/>
      <c r="G86" s="2"/>
      <c r="H86" s="2"/>
      <c r="I86" s="2"/>
      <c r="N86" s="21"/>
      <c r="P86" s="4"/>
      <c r="R86" s="2"/>
    </row>
    <row r="87" spans="3:21" ht="15.75" customHeight="1">
      <c r="C87" s="2"/>
      <c r="D87" s="2"/>
      <c r="E87" s="2"/>
      <c r="F87" s="2"/>
      <c r="G87" s="2"/>
      <c r="H87" s="2"/>
      <c r="I87" s="2"/>
      <c r="J87" s="2"/>
      <c r="N87" s="21"/>
      <c r="P87" s="4"/>
      <c r="R87" s="2"/>
    </row>
    <row r="88" spans="3:21" ht="15.75" customHeight="1">
      <c r="C88" s="1"/>
      <c r="D88" s="2"/>
      <c r="E88" s="3"/>
      <c r="F88" s="3"/>
      <c r="J88" s="280" t="s">
        <v>101</v>
      </c>
      <c r="N88" s="2"/>
      <c r="P88" s="4"/>
    </row>
    <row r="89" spans="3:21" ht="15.75" customHeight="1">
      <c r="C89" s="1"/>
      <c r="D89" s="2"/>
      <c r="E89" s="3"/>
      <c r="F89" s="3"/>
      <c r="N89" s="2"/>
      <c r="P89" s="4"/>
      <c r="S89" s="22"/>
      <c r="T89" s="22"/>
      <c r="U89" s="22"/>
    </row>
    <row r="90" spans="3:21" ht="15.75" customHeight="1">
      <c r="C90" s="1"/>
      <c r="D90" s="2"/>
      <c r="E90" s="3"/>
      <c r="F90" s="3"/>
      <c r="N90" s="2"/>
      <c r="P90" s="4"/>
      <c r="S90" s="22"/>
      <c r="T90" s="22"/>
      <c r="U90" s="22"/>
    </row>
    <row r="91" spans="3:21" ht="15.75" customHeight="1">
      <c r="C91" s="1"/>
      <c r="D91" s="2"/>
      <c r="E91" s="3"/>
      <c r="F91" s="3"/>
      <c r="N91" s="2"/>
      <c r="P91" s="4"/>
      <c r="S91" s="22"/>
      <c r="T91" s="22"/>
      <c r="U91" s="22"/>
    </row>
    <row r="92" spans="3:21" ht="15.75" customHeight="1">
      <c r="C92" s="1"/>
      <c r="D92" s="2"/>
      <c r="E92" s="3"/>
      <c r="F92" s="3"/>
      <c r="N92" s="2"/>
      <c r="P92" s="4"/>
      <c r="S92" s="22"/>
      <c r="T92" s="22"/>
      <c r="U92" s="22"/>
    </row>
    <row r="93" spans="3:21" ht="15.75" customHeight="1">
      <c r="C93" s="1"/>
      <c r="D93" s="2"/>
      <c r="E93" s="3"/>
      <c r="F93" s="3"/>
      <c r="N93" s="2"/>
      <c r="P93" s="4"/>
      <c r="S93" s="22"/>
      <c r="T93" s="22"/>
      <c r="U93" s="22"/>
    </row>
    <row r="94" spans="3:21" ht="15.75" customHeight="1">
      <c r="C94" s="1"/>
      <c r="D94" s="2"/>
      <c r="E94" s="3"/>
      <c r="F94" s="3"/>
      <c r="N94" s="2"/>
      <c r="P94" s="4"/>
      <c r="S94" s="22"/>
      <c r="T94" s="22"/>
      <c r="U94" s="22"/>
    </row>
    <row r="95" spans="3:21" ht="15.75" customHeight="1">
      <c r="C95" s="1"/>
      <c r="D95" s="2"/>
      <c r="E95" s="3"/>
      <c r="F95" s="3"/>
      <c r="N95" s="2"/>
      <c r="P95" s="4"/>
      <c r="S95" s="22"/>
      <c r="T95" s="22"/>
      <c r="U95" s="22"/>
    </row>
    <row r="96" spans="3:21" ht="15.75" customHeight="1">
      <c r="C96" s="1"/>
      <c r="D96" s="2"/>
      <c r="E96" s="3"/>
      <c r="F96" s="3"/>
      <c r="N96" s="2"/>
      <c r="P96" s="4"/>
      <c r="S96" s="22"/>
      <c r="T96" s="22"/>
      <c r="U96" s="22"/>
    </row>
    <row r="97" spans="1:27" ht="15.75" customHeight="1">
      <c r="C97" s="1"/>
      <c r="D97" s="2"/>
      <c r="E97" s="3"/>
      <c r="F97" s="3"/>
      <c r="N97" s="2"/>
      <c r="P97" s="4"/>
      <c r="S97" s="22"/>
      <c r="T97" s="22"/>
      <c r="U97" s="22"/>
    </row>
    <row r="98" spans="1:27" ht="15.75" customHeight="1">
      <c r="C98" s="1"/>
      <c r="D98" s="2"/>
      <c r="E98" s="3"/>
      <c r="F98" s="3"/>
      <c r="N98" s="2"/>
      <c r="P98" s="4"/>
      <c r="S98" s="22"/>
      <c r="T98" s="22"/>
      <c r="U98" s="22"/>
    </row>
    <row r="99" spans="1:27" ht="15.75" customHeight="1">
      <c r="C99" s="1"/>
      <c r="D99" s="2"/>
      <c r="E99" s="3"/>
      <c r="F99" s="3"/>
      <c r="N99" s="2"/>
      <c r="P99" s="4"/>
      <c r="S99" s="22"/>
      <c r="T99" s="22"/>
      <c r="U99" s="22"/>
    </row>
    <row r="100" spans="1:27" ht="15.75" customHeight="1">
      <c r="C100" s="1"/>
      <c r="D100" s="2"/>
      <c r="E100" s="3"/>
      <c r="F100" s="3"/>
      <c r="N100" s="2"/>
      <c r="P100" s="4"/>
      <c r="S100" s="22"/>
      <c r="T100" s="22"/>
      <c r="U100" s="22"/>
    </row>
    <row r="101" spans="1:27" ht="15.75" customHeight="1">
      <c r="C101" s="1"/>
      <c r="D101" s="2"/>
      <c r="E101" s="3"/>
      <c r="F101" s="3"/>
      <c r="N101" s="2"/>
      <c r="P101" s="4"/>
    </row>
    <row r="102" spans="1:27" ht="15.75" customHeight="1">
      <c r="C102" s="1"/>
      <c r="D102" s="2"/>
      <c r="E102" s="3"/>
      <c r="F102" s="3"/>
      <c r="N102" s="2"/>
      <c r="P102" s="4"/>
    </row>
    <row r="103" spans="1:27" ht="15.75" customHeight="1">
      <c r="C103" s="1"/>
      <c r="D103" s="2"/>
      <c r="E103" s="3"/>
      <c r="F103" s="3"/>
      <c r="N103" s="2"/>
      <c r="P103" s="4"/>
    </row>
    <row r="104" spans="1:27" ht="32.25" customHeight="1">
      <c r="C104" s="1"/>
      <c r="D104" s="2"/>
      <c r="E104" s="3"/>
      <c r="F104" s="3"/>
      <c r="J104" s="23"/>
      <c r="N104" s="2"/>
      <c r="P104" s="4"/>
    </row>
    <row r="105" spans="1:27" ht="15.75" customHeight="1">
      <c r="C105" s="1"/>
      <c r="D105" s="2"/>
      <c r="E105" s="3"/>
      <c r="F105" s="2"/>
      <c r="N105" s="2"/>
      <c r="P105" s="4"/>
      <c r="R105" s="2"/>
    </row>
    <row r="106" spans="1:27" ht="15.75" customHeight="1">
      <c r="C106" s="1"/>
      <c r="D106" s="2"/>
      <c r="E106" s="3"/>
      <c r="F106" s="2"/>
      <c r="N106" s="2"/>
      <c r="P106" s="4">
        <v>4</v>
      </c>
      <c r="R106" s="2"/>
    </row>
    <row r="107" spans="1:27" ht="15.75" customHeight="1">
      <c r="C107" s="1"/>
      <c r="D107" s="2"/>
      <c r="E107" s="3"/>
      <c r="F107" s="2"/>
      <c r="N107" s="2"/>
      <c r="P107" s="4"/>
      <c r="R107" s="2"/>
    </row>
    <row r="108" spans="1:27" ht="60" customHeight="1">
      <c r="C108" s="1"/>
      <c r="D108" s="2"/>
      <c r="E108" s="3"/>
      <c r="F108" s="2"/>
      <c r="N108" s="2"/>
      <c r="P108" s="4"/>
      <c r="U108" s="22"/>
    </row>
    <row r="109" spans="1:27" ht="15.75" customHeight="1">
      <c r="C109" s="1"/>
      <c r="D109" s="2"/>
      <c r="E109" s="3"/>
      <c r="F109" s="2"/>
      <c r="N109" s="2"/>
      <c r="P109" s="4"/>
    </row>
    <row r="110" spans="1:27" ht="15.75" customHeight="1">
      <c r="C110" s="1"/>
      <c r="D110" s="2"/>
      <c r="E110" s="3"/>
      <c r="F110" s="2"/>
      <c r="N110" s="2"/>
      <c r="P110" s="4"/>
    </row>
    <row r="111" spans="1:27" ht="42" customHeight="1">
      <c r="A111" s="3"/>
      <c r="B111" s="3"/>
      <c r="C111" s="3"/>
      <c r="D111" s="3"/>
      <c r="E111" s="3"/>
      <c r="F111" s="2"/>
      <c r="G111" s="3"/>
      <c r="H111" s="3"/>
      <c r="I111" s="3"/>
      <c r="J111" s="3"/>
      <c r="K111" s="3"/>
      <c r="L111" s="3"/>
      <c r="M111" s="3"/>
      <c r="N111" s="3"/>
      <c r="O111" s="3"/>
      <c r="P111" s="3"/>
      <c r="Q111" s="3"/>
      <c r="R111" s="3"/>
      <c r="S111" s="3"/>
      <c r="T111" s="3"/>
      <c r="U111" s="3"/>
      <c r="V111" s="3"/>
      <c r="W111" s="3"/>
      <c r="X111" s="3"/>
      <c r="Y111" s="3"/>
      <c r="Z111" s="3"/>
      <c r="AA111" s="3"/>
    </row>
    <row r="112" spans="1:27" ht="15.75" customHeight="1">
      <c r="C112" s="1"/>
      <c r="D112" s="2"/>
      <c r="E112" s="3"/>
      <c r="F112" s="2"/>
      <c r="N112" s="2"/>
      <c r="P112" s="4"/>
    </row>
    <row r="113" spans="3:22" ht="15.75" customHeight="1">
      <c r="C113" s="1"/>
      <c r="D113" s="2"/>
      <c r="E113" s="3"/>
      <c r="F113" s="2"/>
      <c r="N113" s="2"/>
      <c r="P113" s="4"/>
    </row>
    <row r="114" spans="3:22" ht="15.75" customHeight="1">
      <c r="C114" s="1"/>
      <c r="D114" s="2"/>
      <c r="E114" s="3"/>
      <c r="F114" s="2"/>
      <c r="N114" s="2"/>
      <c r="P114" s="4"/>
    </row>
    <row r="115" spans="3:22" ht="15.75" customHeight="1">
      <c r="C115" s="1"/>
      <c r="D115" s="2"/>
      <c r="E115" s="3"/>
      <c r="F115" s="2"/>
      <c r="N115" s="2"/>
      <c r="P115" s="4"/>
    </row>
    <row r="116" spans="3:22" ht="15.75" customHeight="1">
      <c r="C116" s="1"/>
      <c r="D116" s="2"/>
      <c r="E116" s="3"/>
      <c r="F116" s="2"/>
      <c r="G116" s="2"/>
      <c r="N116" s="2"/>
      <c r="P116" s="4"/>
    </row>
    <row r="117" spans="3:22" ht="15.75" customHeight="1">
      <c r="C117" s="1"/>
      <c r="D117" s="2"/>
      <c r="E117" s="3"/>
      <c r="F117" s="2"/>
      <c r="G117" s="2"/>
      <c r="N117" s="2"/>
      <c r="P117" s="4"/>
    </row>
    <row r="118" spans="3:22" ht="15.75" customHeight="1">
      <c r="C118" s="1"/>
      <c r="D118" s="2"/>
      <c r="E118" s="3"/>
      <c r="F118" s="2"/>
      <c r="G118" s="2"/>
      <c r="N118" s="2"/>
      <c r="P118" s="4"/>
      <c r="U118" s="22"/>
    </row>
    <row r="119" spans="3:22" ht="15.75" customHeight="1">
      <c r="C119" s="1"/>
      <c r="D119" s="2"/>
      <c r="E119" s="3"/>
      <c r="F119" s="2"/>
      <c r="N119" s="2"/>
      <c r="P119" s="4"/>
      <c r="R119" s="2"/>
    </row>
    <row r="120" spans="3:22" ht="15.75" customHeight="1">
      <c r="C120" s="1"/>
      <c r="D120" s="2"/>
      <c r="E120" s="3"/>
      <c r="F120" s="2"/>
      <c r="N120" s="2"/>
      <c r="P120" s="4"/>
      <c r="R120" s="2"/>
      <c r="S120" s="24"/>
      <c r="T120" s="24"/>
      <c r="U120" s="24"/>
    </row>
    <row r="121" spans="3:22" ht="15.75" customHeight="1">
      <c r="C121" s="1"/>
      <c r="D121" s="2"/>
      <c r="E121" s="3"/>
      <c r="F121" s="2"/>
      <c r="N121" s="2"/>
      <c r="P121" s="4"/>
      <c r="R121" s="2"/>
    </row>
    <row r="122" spans="3:22" ht="15.75" customHeight="1">
      <c r="C122" s="1"/>
      <c r="D122" s="2"/>
      <c r="E122" s="3"/>
      <c r="F122" s="3"/>
      <c r="N122" s="2"/>
      <c r="P122" s="4"/>
      <c r="R122" s="2"/>
      <c r="S122" s="24"/>
      <c r="U122" s="24"/>
      <c r="V122" s="25"/>
    </row>
    <row r="123" spans="3:22" ht="15.75" customHeight="1">
      <c r="C123" s="1"/>
      <c r="D123" s="2"/>
      <c r="E123" s="3"/>
      <c r="F123" s="2"/>
      <c r="N123" s="2"/>
      <c r="P123" s="4"/>
      <c r="R123" s="2"/>
    </row>
    <row r="124" spans="3:22" ht="15.75" customHeight="1">
      <c r="C124" s="1"/>
      <c r="D124" s="2"/>
      <c r="E124" s="3"/>
      <c r="F124" s="2"/>
      <c r="N124" s="2"/>
      <c r="P124" s="4"/>
      <c r="R124" s="2"/>
    </row>
    <row r="125" spans="3:22" ht="15.75" customHeight="1">
      <c r="C125" s="1"/>
      <c r="D125" s="2"/>
      <c r="E125" s="3"/>
      <c r="F125" s="2"/>
      <c r="N125" s="2"/>
      <c r="P125" s="4"/>
      <c r="R125" s="2"/>
    </row>
    <row r="126" spans="3:22" ht="15.75" customHeight="1">
      <c r="C126" s="1"/>
      <c r="D126" s="2"/>
      <c r="E126" s="3"/>
      <c r="F126" s="2"/>
      <c r="N126" s="2"/>
      <c r="P126" s="4"/>
    </row>
    <row r="127" spans="3:22" ht="15.75" customHeight="1">
      <c r="C127" s="26"/>
      <c r="D127" s="2"/>
      <c r="E127" s="3"/>
      <c r="F127" s="27"/>
      <c r="N127" s="2"/>
      <c r="P127" s="4"/>
    </row>
    <row r="128" spans="3:22" ht="15.75" customHeight="1">
      <c r="C128" s="1"/>
      <c r="D128" s="2"/>
      <c r="E128" s="3"/>
      <c r="F128" s="2"/>
      <c r="N128" s="2"/>
      <c r="P128" s="4"/>
    </row>
    <row r="129" spans="3:16" ht="15.75" customHeight="1">
      <c r="C129" s="1"/>
      <c r="D129" s="2"/>
      <c r="E129" s="3"/>
      <c r="F129" s="2"/>
      <c r="N129" s="2"/>
      <c r="P129" s="4"/>
    </row>
    <row r="130" spans="3:16" ht="15.75" customHeight="1">
      <c r="C130" s="1"/>
      <c r="D130" s="2"/>
      <c r="E130" s="3"/>
      <c r="F130" s="3"/>
      <c r="H130" s="3"/>
      <c r="I130" s="3"/>
      <c r="J130" s="3"/>
      <c r="N130" s="2"/>
      <c r="P130" s="4"/>
    </row>
    <row r="131" spans="3:16" ht="15.75" customHeight="1">
      <c r="C131" s="1"/>
      <c r="D131" s="2"/>
      <c r="E131" s="3"/>
      <c r="F131" s="3"/>
      <c r="N131" s="2"/>
      <c r="P131" s="4"/>
    </row>
    <row r="132" spans="3:16" ht="15.75" customHeight="1">
      <c r="C132" s="1"/>
      <c r="D132" s="2"/>
      <c r="E132" s="3"/>
      <c r="F132" s="3"/>
      <c r="N132" s="2"/>
      <c r="P132" s="4"/>
    </row>
    <row r="133" spans="3:16" ht="15.75" customHeight="1">
      <c r="C133" s="1"/>
      <c r="D133" s="2"/>
      <c r="E133" s="3"/>
      <c r="F133" s="3"/>
      <c r="N133" s="2"/>
      <c r="P133" s="4"/>
    </row>
    <row r="134" spans="3:16" ht="15.75" customHeight="1">
      <c r="C134" s="1"/>
      <c r="D134" s="2"/>
      <c r="E134" s="3"/>
      <c r="F134" s="3"/>
      <c r="N134" s="2"/>
      <c r="P134" s="4"/>
    </row>
    <row r="135" spans="3:16" ht="15.75" customHeight="1">
      <c r="C135" s="1"/>
      <c r="D135" s="2"/>
      <c r="E135" s="3"/>
      <c r="F135" s="3"/>
      <c r="N135" s="2"/>
      <c r="P135" s="4"/>
    </row>
    <row r="136" spans="3:16" ht="15.75" customHeight="1">
      <c r="C136" s="1"/>
      <c r="D136" s="2"/>
      <c r="E136" s="3"/>
      <c r="F136" s="3"/>
      <c r="N136" s="2"/>
      <c r="P136" s="4"/>
    </row>
    <row r="137" spans="3:16" ht="15.75" customHeight="1">
      <c r="C137" s="1"/>
      <c r="D137" s="2"/>
      <c r="E137" s="3"/>
      <c r="F137" s="3"/>
      <c r="N137" s="2"/>
      <c r="P137" s="4"/>
    </row>
    <row r="138" spans="3:16" ht="15.75" customHeight="1">
      <c r="C138" s="1"/>
      <c r="D138" s="2"/>
      <c r="E138" s="3"/>
      <c r="F138" s="3"/>
      <c r="N138" s="2"/>
      <c r="P138" s="4"/>
    </row>
    <row r="139" spans="3:16" ht="15.75" customHeight="1">
      <c r="C139" s="1"/>
      <c r="D139" s="2"/>
      <c r="E139" s="3"/>
      <c r="F139" s="3"/>
      <c r="N139" s="2"/>
      <c r="P139" s="4"/>
    </row>
    <row r="140" spans="3:16" ht="15.75" customHeight="1">
      <c r="C140" s="1"/>
      <c r="D140" s="2"/>
      <c r="E140" s="3"/>
      <c r="F140" s="3"/>
      <c r="N140" s="2"/>
      <c r="P140" s="4"/>
    </row>
    <row r="141" spans="3:16" ht="15.75" customHeight="1">
      <c r="C141" s="1"/>
      <c r="D141" s="2"/>
      <c r="E141" s="3"/>
      <c r="F141" s="3"/>
      <c r="N141" s="2"/>
      <c r="P141" s="4"/>
    </row>
    <row r="142" spans="3:16" ht="15.75" customHeight="1">
      <c r="C142" s="1"/>
      <c r="D142" s="2"/>
      <c r="E142" s="3"/>
      <c r="F142" s="3"/>
      <c r="N142" s="2"/>
      <c r="P142" s="4"/>
    </row>
    <row r="143" spans="3:16" ht="15.75" customHeight="1">
      <c r="C143" s="1"/>
      <c r="D143" s="2"/>
      <c r="E143" s="3"/>
      <c r="F143" s="3"/>
      <c r="N143" s="2"/>
      <c r="P143" s="4"/>
    </row>
    <row r="144" spans="3:16" ht="15.75" customHeight="1">
      <c r="C144" s="1"/>
      <c r="D144" s="2"/>
      <c r="E144" s="3"/>
      <c r="F144" s="3"/>
      <c r="N144" s="2"/>
      <c r="P144" s="4"/>
    </row>
    <row r="145" spans="3:16" ht="15.75" customHeight="1">
      <c r="C145" s="1"/>
      <c r="D145" s="2"/>
      <c r="E145" s="3"/>
      <c r="F145" s="3"/>
      <c r="N145" s="2"/>
      <c r="P145" s="4"/>
    </row>
    <row r="146" spans="3:16" ht="15.75" customHeight="1">
      <c r="C146" s="1"/>
      <c r="D146" s="2"/>
      <c r="E146" s="3"/>
      <c r="F146" s="3"/>
      <c r="N146" s="2"/>
      <c r="P146" s="4"/>
    </row>
    <row r="147" spans="3:16" ht="15.75" customHeight="1">
      <c r="C147" s="1"/>
      <c r="D147" s="2"/>
      <c r="E147" s="3"/>
      <c r="F147" s="3"/>
      <c r="N147" s="2"/>
      <c r="P147" s="4"/>
    </row>
    <row r="148" spans="3:16" ht="15.75" customHeight="1">
      <c r="C148" s="1"/>
      <c r="D148" s="2"/>
      <c r="E148" s="3"/>
      <c r="F148" s="3"/>
      <c r="N148" s="2"/>
      <c r="P148" s="4"/>
    </row>
    <row r="149" spans="3:16" ht="15.75" customHeight="1">
      <c r="C149" s="1"/>
      <c r="D149" s="2"/>
      <c r="E149" s="3"/>
      <c r="F149" s="3"/>
      <c r="N149" s="2"/>
      <c r="P149" s="4"/>
    </row>
    <row r="150" spans="3:16" ht="15.75" customHeight="1">
      <c r="C150" s="1"/>
      <c r="D150" s="2"/>
      <c r="E150" s="3"/>
      <c r="F150" s="3"/>
      <c r="N150" s="2"/>
      <c r="P150" s="4"/>
    </row>
    <row r="151" spans="3:16" ht="15.75" customHeight="1">
      <c r="C151" s="1"/>
      <c r="D151" s="2"/>
      <c r="E151" s="3"/>
      <c r="F151" s="3"/>
      <c r="N151" s="2"/>
      <c r="P151" s="4"/>
    </row>
    <row r="152" spans="3:16" ht="15.75" customHeight="1">
      <c r="C152" s="1"/>
      <c r="D152" s="2"/>
      <c r="E152" s="3"/>
      <c r="F152" s="3"/>
      <c r="N152" s="2"/>
      <c r="P152" s="4"/>
    </row>
    <row r="153" spans="3:16" ht="15.75" customHeight="1">
      <c r="C153" s="1"/>
      <c r="D153" s="2"/>
      <c r="E153" s="3"/>
      <c r="F153" s="3"/>
      <c r="N153" s="2"/>
      <c r="P153" s="4"/>
    </row>
    <row r="154" spans="3:16" ht="15.75" customHeight="1">
      <c r="C154" s="1"/>
      <c r="D154" s="2"/>
      <c r="E154" s="3"/>
      <c r="F154" s="3"/>
      <c r="N154" s="2"/>
      <c r="P154" s="4"/>
    </row>
    <row r="155" spans="3:16" ht="15.75" customHeight="1">
      <c r="C155" s="1"/>
      <c r="D155" s="2"/>
      <c r="E155" s="3"/>
      <c r="F155" s="3"/>
      <c r="N155" s="2"/>
      <c r="P155" s="4"/>
    </row>
    <row r="156" spans="3:16" ht="15.75" customHeight="1">
      <c r="C156" s="1"/>
      <c r="D156" s="2"/>
      <c r="E156" s="3"/>
      <c r="F156" s="3"/>
      <c r="N156" s="2"/>
      <c r="P156" s="4"/>
    </row>
    <row r="157" spans="3:16" ht="15.75" customHeight="1">
      <c r="C157" s="1"/>
      <c r="D157" s="2"/>
      <c r="E157" s="3"/>
      <c r="F157" s="3"/>
      <c r="N157" s="2"/>
      <c r="P157" s="4"/>
    </row>
    <row r="158" spans="3:16" ht="15.75" customHeight="1">
      <c r="C158" s="1"/>
      <c r="D158" s="2"/>
      <c r="E158" s="3"/>
      <c r="F158" s="3"/>
      <c r="N158" s="2"/>
      <c r="P158" s="4"/>
    </row>
    <row r="159" spans="3:16" ht="15.75" customHeight="1">
      <c r="C159" s="1"/>
      <c r="D159" s="2"/>
      <c r="E159" s="3"/>
      <c r="F159" s="3"/>
      <c r="N159" s="2"/>
      <c r="P159" s="4"/>
    </row>
    <row r="160" spans="3:16" ht="15.75" customHeight="1">
      <c r="C160" s="1"/>
      <c r="D160" s="2"/>
      <c r="E160" s="3"/>
      <c r="F160" s="3"/>
      <c r="N160" s="2"/>
      <c r="P160" s="4"/>
    </row>
    <row r="161" spans="3:16" ht="15.75" customHeight="1">
      <c r="C161" s="1"/>
      <c r="D161" s="2"/>
      <c r="E161" s="3"/>
      <c r="F161" s="3"/>
      <c r="N161" s="2"/>
      <c r="P161" s="4"/>
    </row>
    <row r="162" spans="3:16" ht="15.75" customHeight="1">
      <c r="C162" s="1"/>
      <c r="D162" s="2"/>
      <c r="E162" s="3"/>
      <c r="F162" s="3"/>
      <c r="N162" s="2"/>
      <c r="P162" s="4"/>
    </row>
    <row r="163" spans="3:16" ht="15.75" customHeight="1">
      <c r="C163" s="1"/>
      <c r="D163" s="2"/>
      <c r="E163" s="3"/>
      <c r="F163" s="3"/>
      <c r="N163" s="2"/>
      <c r="P163" s="4"/>
    </row>
    <row r="164" spans="3:16" ht="15.75" customHeight="1">
      <c r="C164" s="1"/>
      <c r="D164" s="2"/>
      <c r="E164" s="3"/>
      <c r="F164" s="3"/>
      <c r="N164" s="2"/>
      <c r="P164" s="4"/>
    </row>
    <row r="165" spans="3:16" ht="15.75" customHeight="1">
      <c r="C165" s="1"/>
      <c r="D165" s="2"/>
      <c r="E165" s="3"/>
      <c r="F165" s="3"/>
      <c r="N165" s="2"/>
      <c r="P165" s="4"/>
    </row>
    <row r="166" spans="3:16" ht="15.75" customHeight="1">
      <c r="C166" s="1"/>
      <c r="D166" s="2"/>
      <c r="E166" s="3"/>
      <c r="F166" s="3"/>
      <c r="N166" s="2"/>
      <c r="P166" s="4"/>
    </row>
    <row r="167" spans="3:16" ht="15.75" customHeight="1">
      <c r="C167" s="1"/>
      <c r="D167" s="2"/>
      <c r="E167" s="3"/>
      <c r="F167" s="3"/>
      <c r="N167" s="2"/>
      <c r="P167" s="4"/>
    </row>
    <row r="168" spans="3:16" ht="15.75" customHeight="1">
      <c r="C168" s="1"/>
      <c r="D168" s="2"/>
      <c r="E168" s="3"/>
      <c r="F168" s="3"/>
      <c r="N168" s="2"/>
      <c r="P168" s="4"/>
    </row>
    <row r="169" spans="3:16" ht="15.75" customHeight="1">
      <c r="C169" s="1"/>
      <c r="D169" s="2"/>
      <c r="E169" s="3"/>
      <c r="F169" s="3"/>
      <c r="N169" s="2"/>
      <c r="P169" s="4"/>
    </row>
    <row r="170" spans="3:16" ht="15.75" customHeight="1">
      <c r="C170" s="1"/>
      <c r="D170" s="2"/>
      <c r="E170" s="3"/>
      <c r="F170" s="3"/>
      <c r="N170" s="2"/>
      <c r="P170" s="4"/>
    </row>
    <row r="171" spans="3:16" ht="15.75" customHeight="1">
      <c r="C171" s="1"/>
      <c r="D171" s="2"/>
      <c r="E171" s="3"/>
      <c r="F171" s="3"/>
      <c r="N171" s="2"/>
      <c r="P171" s="4"/>
    </row>
    <row r="172" spans="3:16" ht="15.75" customHeight="1">
      <c r="C172" s="1"/>
      <c r="D172" s="2"/>
      <c r="E172" s="3"/>
      <c r="F172" s="3"/>
      <c r="N172" s="2"/>
      <c r="P172" s="4"/>
    </row>
    <row r="173" spans="3:16" ht="15.75" customHeight="1">
      <c r="C173" s="1"/>
      <c r="D173" s="2"/>
      <c r="E173" s="3"/>
      <c r="F173" s="3"/>
      <c r="N173" s="2"/>
      <c r="P173" s="4"/>
    </row>
    <row r="174" spans="3:16" ht="15.75" customHeight="1">
      <c r="C174" s="1"/>
      <c r="D174" s="2"/>
      <c r="E174" s="3"/>
      <c r="F174" s="3"/>
      <c r="N174" s="2"/>
      <c r="P174" s="4"/>
    </row>
    <row r="175" spans="3:16" ht="15.75" customHeight="1">
      <c r="C175" s="1"/>
      <c r="D175" s="2"/>
      <c r="E175" s="3"/>
      <c r="F175" s="3"/>
      <c r="N175" s="2"/>
      <c r="P175" s="4"/>
    </row>
    <row r="176" spans="3:16" ht="15.75" customHeight="1">
      <c r="C176" s="1"/>
      <c r="D176" s="2"/>
      <c r="E176" s="3"/>
      <c r="F176" s="3"/>
      <c r="N176" s="2"/>
      <c r="P176" s="4"/>
    </row>
    <row r="177" spans="3:16" ht="15.75" customHeight="1">
      <c r="C177" s="1"/>
      <c r="D177" s="2"/>
      <c r="E177" s="3"/>
      <c r="F177" s="3"/>
      <c r="N177" s="2"/>
      <c r="P177" s="4"/>
    </row>
    <row r="178" spans="3:16" ht="15.75" customHeight="1">
      <c r="C178" s="1"/>
      <c r="D178" s="2"/>
      <c r="E178" s="3"/>
      <c r="F178" s="3"/>
      <c r="N178" s="2"/>
      <c r="P178" s="4"/>
    </row>
    <row r="179" spans="3:16" ht="15.75" customHeight="1">
      <c r="C179" s="1"/>
      <c r="D179" s="2"/>
      <c r="E179" s="3"/>
      <c r="F179" s="3"/>
      <c r="N179" s="2"/>
      <c r="P179" s="4"/>
    </row>
    <row r="180" spans="3:16" ht="15.75" customHeight="1">
      <c r="C180" s="1"/>
      <c r="D180" s="2"/>
      <c r="E180" s="3"/>
      <c r="F180" s="3"/>
      <c r="N180" s="2"/>
      <c r="P180" s="4"/>
    </row>
    <row r="181" spans="3:16" ht="15.75" customHeight="1">
      <c r="C181" s="1"/>
      <c r="D181" s="2"/>
      <c r="E181" s="3"/>
      <c r="F181" s="3"/>
      <c r="N181" s="2"/>
      <c r="P181" s="4"/>
    </row>
    <row r="182" spans="3:16" ht="15.75" customHeight="1">
      <c r="C182" s="1"/>
      <c r="D182" s="2"/>
      <c r="E182" s="3"/>
      <c r="F182" s="3"/>
      <c r="N182" s="2"/>
      <c r="P182" s="4"/>
    </row>
    <row r="183" spans="3:16" ht="15.75" customHeight="1">
      <c r="C183" s="1"/>
      <c r="D183" s="2"/>
      <c r="E183" s="3"/>
      <c r="F183" s="3"/>
      <c r="N183" s="2"/>
      <c r="P183" s="4"/>
    </row>
    <row r="184" spans="3:16" ht="15.75" customHeight="1">
      <c r="C184" s="1"/>
      <c r="D184" s="2"/>
      <c r="E184" s="3"/>
      <c r="F184" s="3"/>
      <c r="N184" s="2"/>
      <c r="P184" s="4"/>
    </row>
    <row r="185" spans="3:16" ht="15.75" customHeight="1">
      <c r="C185" s="1"/>
      <c r="D185" s="2"/>
      <c r="E185" s="3"/>
      <c r="F185" s="3"/>
      <c r="N185" s="2"/>
      <c r="P185" s="4"/>
    </row>
    <row r="186" spans="3:16" ht="15.75" customHeight="1">
      <c r="C186" s="1"/>
      <c r="D186" s="2"/>
      <c r="E186" s="3"/>
      <c r="F186" s="3"/>
      <c r="N186" s="2"/>
      <c r="P186" s="4"/>
    </row>
    <row r="187" spans="3:16" ht="15.75" customHeight="1">
      <c r="C187" s="1"/>
      <c r="D187" s="2"/>
      <c r="E187" s="3"/>
      <c r="F187" s="3"/>
      <c r="N187" s="2"/>
      <c r="P187" s="4"/>
    </row>
    <row r="188" spans="3:16" ht="15.75" customHeight="1">
      <c r="C188" s="1"/>
      <c r="D188" s="2"/>
      <c r="E188" s="3"/>
      <c r="F188" s="3"/>
      <c r="N188" s="2"/>
      <c r="P188" s="4"/>
    </row>
    <row r="189" spans="3:16" ht="15.75" customHeight="1">
      <c r="C189" s="1"/>
      <c r="D189" s="2"/>
      <c r="E189" s="3"/>
      <c r="F189" s="3"/>
      <c r="N189" s="2"/>
      <c r="P189" s="4"/>
    </row>
    <row r="190" spans="3:16" ht="15.75" customHeight="1">
      <c r="C190" s="1"/>
      <c r="D190" s="2"/>
      <c r="E190" s="3"/>
      <c r="F190" s="3"/>
      <c r="N190" s="2"/>
      <c r="P190" s="4"/>
    </row>
    <row r="191" spans="3:16" ht="15.75" customHeight="1">
      <c r="C191" s="1"/>
      <c r="D191" s="2"/>
      <c r="E191" s="3"/>
      <c r="F191" s="3"/>
      <c r="N191" s="2"/>
      <c r="P191" s="4"/>
    </row>
    <row r="192" spans="3:16" ht="15.75" customHeight="1">
      <c r="C192" s="1"/>
      <c r="D192" s="2"/>
      <c r="E192" s="3"/>
      <c r="F192" s="3"/>
      <c r="N192" s="2"/>
      <c r="P192" s="4"/>
    </row>
    <row r="193" spans="3:16" ht="15.75" customHeight="1">
      <c r="C193" s="1"/>
      <c r="D193" s="2"/>
      <c r="E193" s="3"/>
      <c r="F193" s="3"/>
      <c r="N193" s="2"/>
      <c r="P193" s="4"/>
    </row>
    <row r="194" spans="3:16" ht="15.75" customHeight="1">
      <c r="C194" s="1"/>
      <c r="D194" s="2"/>
      <c r="E194" s="3"/>
      <c r="F194" s="3"/>
      <c r="N194" s="2"/>
      <c r="P194" s="4"/>
    </row>
    <row r="195" spans="3:16" ht="15.75" customHeight="1">
      <c r="C195" s="1"/>
      <c r="D195" s="2"/>
      <c r="E195" s="3"/>
      <c r="F195" s="3"/>
      <c r="N195" s="2"/>
      <c r="P195" s="4"/>
    </row>
    <row r="196" spans="3:16" ht="15.75" customHeight="1">
      <c r="C196" s="1"/>
      <c r="D196" s="2"/>
      <c r="E196" s="3"/>
      <c r="F196" s="3"/>
      <c r="N196" s="2"/>
      <c r="P196" s="4"/>
    </row>
    <row r="197" spans="3:16" ht="15.75" customHeight="1">
      <c r="C197" s="1"/>
      <c r="D197" s="2"/>
      <c r="E197" s="3"/>
      <c r="F197" s="3"/>
      <c r="N197" s="2"/>
      <c r="P197" s="4"/>
    </row>
    <row r="198" spans="3:16" ht="15.75" customHeight="1">
      <c r="C198" s="1"/>
      <c r="D198" s="2"/>
      <c r="E198" s="3"/>
      <c r="F198" s="3"/>
      <c r="N198" s="2"/>
      <c r="P198" s="4"/>
    </row>
    <row r="199" spans="3:16" ht="15.75" customHeight="1">
      <c r="C199" s="1"/>
      <c r="D199" s="2"/>
      <c r="E199" s="3"/>
      <c r="F199" s="3"/>
      <c r="N199" s="2"/>
      <c r="P199" s="4"/>
    </row>
    <row r="200" spans="3:16" ht="15.75" customHeight="1">
      <c r="C200" s="1"/>
      <c r="D200" s="2"/>
      <c r="E200" s="3"/>
      <c r="F200" s="3"/>
      <c r="N200" s="2"/>
      <c r="P200" s="4"/>
    </row>
    <row r="201" spans="3:16" ht="15.75" customHeight="1">
      <c r="C201" s="1"/>
      <c r="D201" s="2"/>
      <c r="E201" s="3"/>
      <c r="F201" s="3"/>
      <c r="N201" s="2"/>
      <c r="P201" s="4"/>
    </row>
    <row r="202" spans="3:16" ht="15.75" customHeight="1">
      <c r="C202" s="1"/>
      <c r="D202" s="2"/>
      <c r="E202" s="3"/>
      <c r="F202" s="3"/>
      <c r="N202" s="2"/>
      <c r="P202" s="4"/>
    </row>
    <row r="203" spans="3:16" ht="15.75" customHeight="1">
      <c r="C203" s="1"/>
      <c r="D203" s="2"/>
      <c r="E203" s="3"/>
      <c r="F203" s="3"/>
      <c r="N203" s="2"/>
      <c r="P203" s="4"/>
    </row>
    <row r="204" spans="3:16" ht="15.75" customHeight="1">
      <c r="C204" s="1"/>
      <c r="D204" s="2"/>
      <c r="E204" s="3"/>
      <c r="F204" s="3"/>
      <c r="N204" s="2"/>
      <c r="P204" s="4"/>
    </row>
    <row r="205" spans="3:16" ht="15.75" customHeight="1">
      <c r="C205" s="1"/>
      <c r="D205" s="2"/>
      <c r="E205" s="3"/>
      <c r="F205" s="3"/>
      <c r="N205" s="2"/>
      <c r="P205" s="4"/>
    </row>
    <row r="206" spans="3:16" ht="15.75" customHeight="1">
      <c r="C206" s="1"/>
      <c r="D206" s="2"/>
      <c r="E206" s="3"/>
      <c r="F206" s="3"/>
      <c r="N206" s="2"/>
      <c r="P206" s="4"/>
    </row>
    <row r="207" spans="3:16" ht="15.75" customHeight="1">
      <c r="C207" s="1"/>
      <c r="D207" s="2"/>
      <c r="E207" s="3"/>
      <c r="F207" s="3"/>
      <c r="N207" s="2"/>
      <c r="P207" s="4"/>
    </row>
    <row r="208" spans="3:16" ht="15.75" customHeight="1">
      <c r="C208" s="1"/>
      <c r="D208" s="2"/>
      <c r="E208" s="3"/>
      <c r="F208" s="3"/>
      <c r="N208" s="2"/>
      <c r="P208" s="4"/>
    </row>
    <row r="209" spans="3:16" ht="15.75" customHeight="1">
      <c r="C209" s="1"/>
      <c r="D209" s="2"/>
      <c r="E209" s="3"/>
      <c r="F209" s="3"/>
      <c r="N209" s="2"/>
      <c r="P209" s="4"/>
    </row>
    <row r="210" spans="3:16" ht="15.75" customHeight="1">
      <c r="C210" s="1"/>
      <c r="D210" s="2"/>
      <c r="E210" s="3"/>
      <c r="F210" s="3"/>
      <c r="N210" s="2"/>
      <c r="P210" s="4"/>
    </row>
    <row r="211" spans="3:16" ht="15.75" customHeight="1">
      <c r="C211" s="1"/>
      <c r="D211" s="2"/>
      <c r="E211" s="3"/>
      <c r="F211" s="3"/>
      <c r="N211" s="2"/>
      <c r="P211" s="4"/>
    </row>
    <row r="212" spans="3:16" ht="15.75" customHeight="1">
      <c r="C212" s="1"/>
      <c r="D212" s="2"/>
      <c r="E212" s="3"/>
      <c r="F212" s="3"/>
      <c r="N212" s="2"/>
      <c r="P212" s="4"/>
    </row>
    <row r="213" spans="3:16" ht="15.75" customHeight="1">
      <c r="C213" s="1"/>
      <c r="D213" s="2"/>
      <c r="E213" s="3"/>
      <c r="F213" s="3"/>
      <c r="N213" s="2"/>
      <c r="P213" s="4"/>
    </row>
    <row r="214" spans="3:16" ht="15.75" customHeight="1">
      <c r="C214" s="1"/>
      <c r="D214" s="2"/>
      <c r="E214" s="3"/>
      <c r="F214" s="3"/>
      <c r="N214" s="2"/>
      <c r="P214" s="4"/>
    </row>
    <row r="215" spans="3:16" ht="15.75" customHeight="1">
      <c r="C215" s="1"/>
      <c r="D215" s="2"/>
      <c r="E215" s="3"/>
      <c r="F215" s="3"/>
      <c r="N215" s="2"/>
      <c r="P215" s="4"/>
    </row>
    <row r="216" spans="3:16" ht="15.75" customHeight="1">
      <c r="C216" s="1"/>
      <c r="D216" s="2"/>
      <c r="E216" s="3"/>
      <c r="F216" s="3"/>
      <c r="N216" s="2"/>
      <c r="P216" s="4"/>
    </row>
    <row r="217" spans="3:16" ht="15.75" customHeight="1">
      <c r="C217" s="1"/>
      <c r="D217" s="2"/>
      <c r="E217" s="3"/>
      <c r="F217" s="3"/>
      <c r="N217" s="2"/>
      <c r="P217" s="4"/>
    </row>
    <row r="218" spans="3:16" ht="15.75" customHeight="1">
      <c r="C218" s="1"/>
      <c r="D218" s="2"/>
      <c r="E218" s="3"/>
      <c r="F218" s="3"/>
      <c r="N218" s="2"/>
      <c r="P218" s="4"/>
    </row>
    <row r="219" spans="3:16" ht="15.75" customHeight="1">
      <c r="C219" s="1"/>
      <c r="D219" s="2"/>
      <c r="E219" s="3"/>
      <c r="F219" s="3"/>
      <c r="N219" s="2"/>
      <c r="P219" s="4"/>
    </row>
    <row r="220" spans="3:16" ht="15.75" customHeight="1">
      <c r="C220" s="1"/>
      <c r="D220" s="2"/>
      <c r="E220" s="3"/>
      <c r="F220" s="3"/>
      <c r="N220" s="2"/>
      <c r="P220" s="4"/>
    </row>
    <row r="221" spans="3:16" ht="15.75" customHeight="1">
      <c r="C221" s="1"/>
      <c r="D221" s="2"/>
      <c r="E221" s="3"/>
      <c r="F221" s="3"/>
      <c r="N221" s="2"/>
      <c r="P221" s="4"/>
    </row>
    <row r="222" spans="3:16" ht="15.75" customHeight="1">
      <c r="C222" s="1"/>
      <c r="D222" s="2"/>
      <c r="E222" s="3"/>
      <c r="F222" s="3"/>
      <c r="N222" s="2"/>
      <c r="P222" s="4"/>
    </row>
    <row r="223" spans="3:16" ht="15.75" customHeight="1">
      <c r="C223" s="1"/>
      <c r="D223" s="2"/>
      <c r="E223" s="3"/>
      <c r="F223" s="3"/>
      <c r="N223" s="2"/>
      <c r="P223" s="4"/>
    </row>
    <row r="224" spans="3:16" ht="15.75" customHeight="1">
      <c r="C224" s="1"/>
      <c r="D224" s="2"/>
      <c r="E224" s="3"/>
      <c r="F224" s="3"/>
      <c r="N224" s="2"/>
      <c r="P224" s="4"/>
    </row>
    <row r="225" spans="3:16" ht="15.75" customHeight="1">
      <c r="C225" s="1"/>
      <c r="D225" s="2"/>
      <c r="E225" s="3"/>
      <c r="F225" s="3"/>
      <c r="N225" s="2"/>
      <c r="P225" s="4"/>
    </row>
    <row r="226" spans="3:16" ht="15.75" customHeight="1">
      <c r="C226" s="1"/>
      <c r="D226" s="2"/>
      <c r="E226" s="3"/>
      <c r="F226" s="3"/>
      <c r="N226" s="2"/>
      <c r="P226" s="4"/>
    </row>
    <row r="227" spans="3:16" ht="15.75" customHeight="1">
      <c r="C227" s="1"/>
      <c r="D227" s="2"/>
      <c r="E227" s="3"/>
      <c r="F227" s="3"/>
      <c r="N227" s="2"/>
      <c r="P227" s="4"/>
    </row>
    <row r="228" spans="3:16" ht="15.75" customHeight="1">
      <c r="C228" s="1"/>
      <c r="D228" s="2"/>
      <c r="E228" s="3"/>
      <c r="F228" s="3"/>
      <c r="N228" s="2"/>
      <c r="P228" s="4"/>
    </row>
    <row r="229" spans="3:16" ht="15.75" customHeight="1">
      <c r="C229" s="1"/>
      <c r="D229" s="2"/>
      <c r="E229" s="3"/>
      <c r="F229" s="3"/>
      <c r="N229" s="2"/>
      <c r="P229" s="4"/>
    </row>
    <row r="230" spans="3:16" ht="15.75" customHeight="1">
      <c r="C230" s="1"/>
      <c r="D230" s="2"/>
      <c r="E230" s="3"/>
      <c r="F230" s="3"/>
      <c r="N230" s="2"/>
      <c r="P230" s="4"/>
    </row>
    <row r="231" spans="3:16" ht="15.75" customHeight="1">
      <c r="C231" s="1"/>
      <c r="D231" s="2"/>
      <c r="E231" s="3"/>
      <c r="F231" s="3"/>
      <c r="N231" s="2"/>
      <c r="P231" s="4"/>
    </row>
    <row r="232" spans="3:16" ht="15.75" customHeight="1">
      <c r="C232" s="1"/>
      <c r="D232" s="2"/>
      <c r="E232" s="3"/>
      <c r="F232" s="3"/>
      <c r="N232" s="2"/>
      <c r="P232" s="4"/>
    </row>
    <row r="233" spans="3:16" ht="15.75" customHeight="1">
      <c r="C233" s="1"/>
      <c r="D233" s="2"/>
      <c r="E233" s="3"/>
      <c r="F233" s="3"/>
      <c r="N233" s="2"/>
      <c r="P233" s="4"/>
    </row>
    <row r="234" spans="3:16" ht="15.75" customHeight="1">
      <c r="C234" s="1"/>
      <c r="D234" s="2"/>
      <c r="E234" s="3"/>
      <c r="F234" s="3"/>
      <c r="N234" s="2"/>
      <c r="P234" s="4"/>
    </row>
    <row r="235" spans="3:16" ht="15.75" customHeight="1">
      <c r="C235" s="1"/>
      <c r="D235" s="2"/>
      <c r="E235" s="3"/>
      <c r="F235" s="3"/>
      <c r="N235" s="2"/>
      <c r="P235" s="4"/>
    </row>
    <row r="236" spans="3:16" ht="15.75" customHeight="1">
      <c r="C236" s="1"/>
      <c r="D236" s="2"/>
      <c r="E236" s="3"/>
      <c r="F236" s="3"/>
      <c r="N236" s="2"/>
      <c r="P236" s="4"/>
    </row>
    <row r="237" spans="3:16" ht="15.75" customHeight="1">
      <c r="C237" s="1"/>
      <c r="D237" s="2"/>
      <c r="E237" s="3"/>
      <c r="F237" s="3"/>
      <c r="N237" s="2"/>
      <c r="P237" s="4"/>
    </row>
    <row r="238" spans="3:16" ht="15.75" customHeight="1">
      <c r="C238" s="1"/>
      <c r="D238" s="2"/>
      <c r="E238" s="3"/>
      <c r="F238" s="3"/>
      <c r="N238" s="2"/>
      <c r="P238" s="4"/>
    </row>
    <row r="239" spans="3:16" ht="15.75" customHeight="1">
      <c r="C239" s="1"/>
      <c r="D239" s="2"/>
      <c r="E239" s="3"/>
      <c r="F239" s="3"/>
      <c r="N239" s="2"/>
      <c r="P239" s="4"/>
    </row>
    <row r="240" spans="3:16" ht="15.75" customHeight="1">
      <c r="C240" s="1"/>
      <c r="D240" s="2"/>
      <c r="E240" s="3"/>
      <c r="F240" s="3"/>
      <c r="N240" s="2"/>
      <c r="P240" s="4"/>
    </row>
    <row r="241" spans="3:16" ht="15.75" customHeight="1">
      <c r="C241" s="1"/>
      <c r="D241" s="2"/>
      <c r="E241" s="3"/>
      <c r="F241" s="3"/>
      <c r="N241" s="2"/>
      <c r="P241" s="4"/>
    </row>
    <row r="242" spans="3:16" ht="15.75" customHeight="1">
      <c r="C242" s="1"/>
      <c r="D242" s="2"/>
      <c r="E242" s="3"/>
      <c r="F242" s="3"/>
      <c r="N242" s="2"/>
      <c r="P242" s="4"/>
    </row>
    <row r="243" spans="3:16" ht="15.75" customHeight="1">
      <c r="C243" s="1"/>
      <c r="D243" s="2"/>
      <c r="E243" s="3"/>
      <c r="F243" s="3"/>
      <c r="N243" s="2"/>
      <c r="P243" s="4"/>
    </row>
    <row r="244" spans="3:16" ht="15.75" customHeight="1">
      <c r="C244" s="1"/>
      <c r="D244" s="2"/>
      <c r="E244" s="3"/>
      <c r="F244" s="3"/>
      <c r="N244" s="2"/>
      <c r="P244" s="4"/>
    </row>
    <row r="245" spans="3:16" ht="15.75" customHeight="1">
      <c r="C245" s="1"/>
      <c r="D245" s="2"/>
      <c r="E245" s="3"/>
      <c r="F245" s="3"/>
      <c r="N245" s="2"/>
      <c r="P245" s="4"/>
    </row>
    <row r="246" spans="3:16" ht="15.75" customHeight="1">
      <c r="C246" s="1"/>
      <c r="D246" s="2"/>
      <c r="E246" s="3"/>
      <c r="F246" s="3"/>
      <c r="N246" s="2"/>
      <c r="P246" s="4"/>
    </row>
    <row r="247" spans="3:16" ht="15.75" customHeight="1">
      <c r="C247" s="1"/>
      <c r="D247" s="2"/>
      <c r="E247" s="3"/>
      <c r="F247" s="3"/>
      <c r="N247" s="2"/>
      <c r="P247" s="4"/>
    </row>
    <row r="248" spans="3:16" ht="15.75" customHeight="1">
      <c r="C248" s="1"/>
      <c r="D248" s="2"/>
      <c r="E248" s="3"/>
      <c r="F248" s="3"/>
      <c r="N248" s="2"/>
      <c r="P248" s="4"/>
    </row>
    <row r="249" spans="3:16" ht="15.75" customHeight="1">
      <c r="C249" s="1"/>
      <c r="D249" s="2"/>
      <c r="E249" s="3"/>
      <c r="F249" s="3"/>
      <c r="N249" s="2"/>
      <c r="P249" s="4"/>
    </row>
    <row r="250" spans="3:16" ht="15.75" customHeight="1">
      <c r="C250" s="1"/>
      <c r="D250" s="2"/>
      <c r="E250" s="3"/>
      <c r="F250" s="3"/>
      <c r="N250" s="2"/>
      <c r="P250" s="4"/>
    </row>
    <row r="251" spans="3:16" ht="15.75" customHeight="1">
      <c r="C251" s="1"/>
      <c r="D251" s="2"/>
      <c r="E251" s="3"/>
      <c r="F251" s="3"/>
      <c r="N251" s="2"/>
      <c r="P251" s="4"/>
    </row>
    <row r="252" spans="3:16" ht="15.75" customHeight="1">
      <c r="C252" s="1"/>
      <c r="D252" s="2"/>
      <c r="E252" s="3"/>
      <c r="F252" s="3"/>
      <c r="N252" s="2"/>
      <c r="P252" s="4"/>
    </row>
    <row r="253" spans="3:16" ht="15.75" customHeight="1">
      <c r="C253" s="1"/>
      <c r="D253" s="2"/>
      <c r="E253" s="3"/>
      <c r="F253" s="3"/>
      <c r="N253" s="2"/>
      <c r="P253" s="4"/>
    </row>
    <row r="254" spans="3:16" ht="15.75" customHeight="1">
      <c r="C254" s="1"/>
      <c r="D254" s="2"/>
      <c r="E254" s="3"/>
      <c r="F254" s="3"/>
      <c r="N254" s="2"/>
      <c r="P254" s="4"/>
    </row>
    <row r="255" spans="3:16" ht="15.75" customHeight="1">
      <c r="C255" s="1"/>
      <c r="D255" s="2"/>
      <c r="E255" s="3"/>
      <c r="F255" s="3"/>
      <c r="N255" s="2"/>
      <c r="P255" s="4"/>
    </row>
    <row r="256" spans="3:16" ht="15.75" customHeight="1">
      <c r="C256" s="1"/>
      <c r="D256" s="2"/>
      <c r="E256" s="3"/>
      <c r="F256" s="3"/>
      <c r="N256" s="2"/>
      <c r="P256" s="4"/>
    </row>
    <row r="257" spans="3:16" ht="15.75" customHeight="1">
      <c r="C257" s="1"/>
      <c r="D257" s="2"/>
      <c r="E257" s="3"/>
      <c r="F257" s="3"/>
      <c r="N257" s="2"/>
      <c r="P257" s="4"/>
    </row>
    <row r="258" spans="3:16" ht="15.75" customHeight="1">
      <c r="C258" s="1"/>
      <c r="D258" s="2"/>
      <c r="E258" s="3"/>
      <c r="F258" s="3"/>
      <c r="N258" s="2"/>
      <c r="P258" s="4"/>
    </row>
    <row r="259" spans="3:16" ht="15.75" customHeight="1">
      <c r="C259" s="1"/>
      <c r="D259" s="2"/>
      <c r="E259" s="3"/>
      <c r="F259" s="3"/>
      <c r="N259" s="2"/>
      <c r="P259" s="4"/>
    </row>
    <row r="260" spans="3:16" ht="15.75" customHeight="1">
      <c r="C260" s="1"/>
      <c r="D260" s="2"/>
      <c r="E260" s="3"/>
      <c r="F260" s="3"/>
      <c r="N260" s="2"/>
      <c r="P260" s="4"/>
    </row>
    <row r="261" spans="3:16" ht="15.75" customHeight="1">
      <c r="C261" s="1"/>
      <c r="D261" s="2"/>
      <c r="E261" s="3"/>
      <c r="F261" s="3"/>
      <c r="N261" s="2"/>
      <c r="P261" s="4"/>
    </row>
    <row r="262" spans="3:16" ht="15.75" customHeight="1">
      <c r="C262" s="1"/>
      <c r="D262" s="2"/>
      <c r="E262" s="3"/>
      <c r="F262" s="3"/>
      <c r="N262" s="2"/>
      <c r="P262" s="4"/>
    </row>
    <row r="263" spans="3:16" ht="15.75" customHeight="1">
      <c r="C263" s="1"/>
      <c r="D263" s="2"/>
      <c r="E263" s="3"/>
      <c r="F263" s="3"/>
      <c r="N263" s="2"/>
      <c r="P263" s="4"/>
    </row>
    <row r="264" spans="3:16" ht="15.75" customHeight="1">
      <c r="C264" s="1"/>
      <c r="D264" s="2"/>
      <c r="E264" s="3"/>
      <c r="F264" s="3"/>
      <c r="N264" s="2"/>
      <c r="P264" s="4"/>
    </row>
    <row r="265" spans="3:16" ht="15.75" customHeight="1">
      <c r="C265" s="1"/>
      <c r="D265" s="2"/>
      <c r="E265" s="3"/>
      <c r="F265" s="3"/>
      <c r="N265" s="2"/>
      <c r="P265" s="4"/>
    </row>
    <row r="266" spans="3:16" ht="15.75" customHeight="1">
      <c r="C266" s="1"/>
      <c r="D266" s="2"/>
      <c r="E266" s="3"/>
      <c r="F266" s="3"/>
      <c r="N266" s="2"/>
      <c r="P266" s="4"/>
    </row>
    <row r="267" spans="3:16" ht="15.75" customHeight="1">
      <c r="C267" s="1"/>
      <c r="D267" s="2"/>
      <c r="E267" s="3"/>
      <c r="F267" s="3"/>
      <c r="N267" s="2"/>
      <c r="P267" s="4"/>
    </row>
    <row r="268" spans="3:16" ht="15.75" customHeight="1">
      <c r="C268" s="1"/>
      <c r="D268" s="2"/>
      <c r="E268" s="3"/>
      <c r="F268" s="3"/>
      <c r="N268" s="2"/>
      <c r="P268" s="4"/>
    </row>
    <row r="269" spans="3:16" ht="15.75" customHeight="1">
      <c r="C269" s="1"/>
      <c r="D269" s="2"/>
      <c r="E269" s="3"/>
      <c r="F269" s="3"/>
      <c r="N269" s="2"/>
      <c r="P269" s="4"/>
    </row>
    <row r="270" spans="3:16" ht="15.75" customHeight="1">
      <c r="C270" s="1"/>
      <c r="D270" s="2"/>
      <c r="E270" s="3"/>
      <c r="F270" s="3"/>
      <c r="N270" s="2"/>
      <c r="P270" s="4"/>
    </row>
    <row r="271" spans="3:16" ht="15.75" customHeight="1">
      <c r="C271" s="1"/>
      <c r="D271" s="2"/>
      <c r="E271" s="3"/>
      <c r="F271" s="3"/>
      <c r="N271" s="2"/>
      <c r="P271" s="4"/>
    </row>
    <row r="272" spans="3:16" ht="15.75" customHeight="1">
      <c r="C272" s="1"/>
      <c r="D272" s="2"/>
      <c r="E272" s="3"/>
      <c r="F272" s="3"/>
      <c r="N272" s="2"/>
      <c r="P272" s="4"/>
    </row>
    <row r="273" spans="3:16" ht="15.75" customHeight="1">
      <c r="C273" s="1"/>
      <c r="D273" s="2"/>
      <c r="E273" s="3"/>
      <c r="F273" s="3"/>
      <c r="N273" s="2"/>
      <c r="P273" s="4"/>
    </row>
    <row r="274" spans="3:16" ht="15.75" customHeight="1">
      <c r="C274" s="1"/>
      <c r="D274" s="2"/>
      <c r="E274" s="3"/>
      <c r="F274" s="3"/>
      <c r="N274" s="2"/>
      <c r="P274" s="4"/>
    </row>
    <row r="275" spans="3:16" ht="15.75" customHeight="1">
      <c r="C275" s="1"/>
      <c r="D275" s="2"/>
      <c r="E275" s="3"/>
      <c r="F275" s="3"/>
      <c r="N275" s="2"/>
      <c r="P275" s="4"/>
    </row>
    <row r="276" spans="3:16" ht="15.75" customHeight="1">
      <c r="C276" s="1"/>
      <c r="D276" s="2"/>
      <c r="E276" s="3"/>
      <c r="F276" s="3"/>
      <c r="N276" s="2"/>
      <c r="P276" s="4"/>
    </row>
    <row r="277" spans="3:16" ht="15.75" customHeight="1">
      <c r="C277" s="1"/>
      <c r="D277" s="2"/>
      <c r="E277" s="3"/>
      <c r="F277" s="3"/>
      <c r="N277" s="2"/>
      <c r="P277" s="4"/>
    </row>
    <row r="278" spans="3:16" ht="15.75" customHeight="1">
      <c r="C278" s="1"/>
      <c r="D278" s="2"/>
      <c r="E278" s="3"/>
      <c r="F278" s="3"/>
      <c r="N278" s="2"/>
      <c r="P278" s="4"/>
    </row>
    <row r="279" spans="3:16" ht="15.75" customHeight="1">
      <c r="C279" s="1"/>
      <c r="D279" s="2"/>
      <c r="E279" s="3"/>
      <c r="F279" s="3"/>
      <c r="N279" s="2"/>
      <c r="P279" s="4"/>
    </row>
    <row r="280" spans="3:16" ht="15.75" customHeight="1">
      <c r="C280" s="1"/>
      <c r="D280" s="2"/>
      <c r="E280" s="3"/>
      <c r="F280" s="3"/>
      <c r="N280" s="2"/>
      <c r="P280" s="4"/>
    </row>
    <row r="281" spans="3:16" ht="15.75" customHeight="1">
      <c r="C281" s="1"/>
      <c r="D281" s="2"/>
      <c r="E281" s="3"/>
      <c r="F281" s="3"/>
      <c r="N281" s="2"/>
      <c r="P281" s="4"/>
    </row>
    <row r="282" spans="3:16" ht="15.75" customHeight="1">
      <c r="C282" s="1"/>
      <c r="D282" s="2"/>
      <c r="E282" s="3"/>
      <c r="F282" s="3"/>
      <c r="N282" s="2"/>
      <c r="P282" s="4"/>
    </row>
    <row r="283" spans="3:16" ht="15.75" customHeight="1">
      <c r="C283" s="1"/>
      <c r="D283" s="2"/>
      <c r="E283" s="3"/>
      <c r="F283" s="3"/>
      <c r="N283" s="2"/>
      <c r="P283" s="4"/>
    </row>
    <row r="284" spans="3:16" ht="15.75" customHeight="1">
      <c r="C284" s="1"/>
      <c r="D284" s="2"/>
      <c r="E284" s="3"/>
      <c r="F284" s="3"/>
      <c r="N284" s="2"/>
      <c r="P284" s="4"/>
    </row>
    <row r="285" spans="3:16" ht="15.75" customHeight="1">
      <c r="C285" s="1"/>
      <c r="D285" s="2"/>
      <c r="E285" s="3"/>
      <c r="F285" s="3"/>
      <c r="N285" s="2"/>
      <c r="P285" s="4"/>
    </row>
    <row r="286" spans="3:16" ht="15.75" customHeight="1">
      <c r="C286" s="1"/>
      <c r="D286" s="2"/>
      <c r="E286" s="3"/>
      <c r="F286" s="3"/>
      <c r="N286" s="2"/>
      <c r="P286" s="4"/>
    </row>
    <row r="287" spans="3:16" ht="15.75" customHeight="1">
      <c r="C287" s="1"/>
      <c r="D287" s="2"/>
      <c r="E287" s="3"/>
      <c r="F287" s="3"/>
      <c r="N287" s="2"/>
      <c r="P287" s="4"/>
    </row>
    <row r="288" spans="3:16" ht="15.75" customHeight="1">
      <c r="C288" s="1"/>
      <c r="D288" s="2"/>
      <c r="E288" s="3"/>
      <c r="F288" s="3"/>
      <c r="N288" s="2"/>
      <c r="P288" s="4"/>
    </row>
    <row r="289" spans="3:16" ht="15.75" customHeight="1">
      <c r="C289" s="1"/>
      <c r="D289" s="2"/>
      <c r="E289" s="3"/>
      <c r="F289" s="3"/>
      <c r="N289" s="2"/>
      <c r="P289" s="4"/>
    </row>
    <row r="290" spans="3:16" ht="15.75" customHeight="1">
      <c r="C290" s="1"/>
      <c r="D290" s="2"/>
      <c r="E290" s="3"/>
      <c r="F290" s="3"/>
      <c r="N290" s="2"/>
      <c r="P290" s="4"/>
    </row>
    <row r="291" spans="3:16" ht="15.75" customHeight="1">
      <c r="C291" s="1"/>
      <c r="D291" s="2"/>
      <c r="E291" s="3"/>
      <c r="F291" s="3"/>
      <c r="N291" s="2"/>
      <c r="P291" s="4"/>
    </row>
    <row r="292" spans="3:16" ht="15.75" customHeight="1">
      <c r="C292" s="1"/>
      <c r="D292" s="2"/>
      <c r="E292" s="3"/>
      <c r="F292" s="3"/>
      <c r="N292" s="2"/>
      <c r="P292" s="4"/>
    </row>
    <row r="293" spans="3:16" ht="15.75" customHeight="1">
      <c r="C293" s="1"/>
      <c r="D293" s="2"/>
      <c r="E293" s="3"/>
      <c r="F293" s="3"/>
      <c r="N293" s="2"/>
      <c r="P293" s="4"/>
    </row>
    <row r="294" spans="3:16" ht="15.75" customHeight="1">
      <c r="C294" s="1"/>
      <c r="D294" s="2"/>
      <c r="E294" s="3"/>
      <c r="F294" s="3"/>
      <c r="N294" s="2"/>
      <c r="P294" s="4"/>
    </row>
    <row r="295" spans="3:16" ht="15.75" customHeight="1">
      <c r="C295" s="1"/>
      <c r="D295" s="2"/>
      <c r="E295" s="3"/>
      <c r="F295" s="3"/>
      <c r="N295" s="2"/>
      <c r="P295" s="4"/>
    </row>
    <row r="296" spans="3:16" ht="15.75" customHeight="1">
      <c r="C296" s="1"/>
      <c r="D296" s="2"/>
      <c r="E296" s="3"/>
      <c r="F296" s="3"/>
      <c r="N296" s="2"/>
      <c r="P296" s="4"/>
    </row>
    <row r="297" spans="3:16" ht="15.75" customHeight="1">
      <c r="C297" s="1"/>
      <c r="D297" s="2"/>
      <c r="E297" s="3"/>
      <c r="F297" s="3"/>
      <c r="N297" s="2"/>
      <c r="P297" s="4"/>
    </row>
    <row r="298" spans="3:16" ht="15.75" customHeight="1">
      <c r="C298" s="1"/>
      <c r="D298" s="2"/>
      <c r="E298" s="3"/>
      <c r="F298" s="3"/>
      <c r="N298" s="2"/>
      <c r="P298" s="4"/>
    </row>
    <row r="299" spans="3:16" ht="15.75" customHeight="1">
      <c r="C299" s="1"/>
      <c r="D299" s="2"/>
      <c r="E299" s="3"/>
      <c r="F299" s="3"/>
      <c r="N299" s="2"/>
      <c r="P299" s="4"/>
    </row>
    <row r="300" spans="3:16" ht="15.75" customHeight="1">
      <c r="C300" s="1"/>
      <c r="D300" s="2"/>
      <c r="E300" s="3"/>
      <c r="F300" s="3"/>
      <c r="N300" s="2"/>
      <c r="P300" s="4"/>
    </row>
    <row r="301" spans="3:16" ht="15.75" customHeight="1">
      <c r="C301" s="1"/>
      <c r="D301" s="2"/>
      <c r="E301" s="3"/>
      <c r="F301" s="3"/>
      <c r="N301" s="2"/>
      <c r="P301" s="4"/>
    </row>
    <row r="302" spans="3:16" ht="15.75" customHeight="1">
      <c r="C302" s="1"/>
      <c r="D302" s="2"/>
      <c r="E302" s="3"/>
      <c r="F302" s="3"/>
      <c r="N302" s="2"/>
      <c r="P302" s="4"/>
    </row>
    <row r="303" spans="3:16" ht="15.75" customHeight="1">
      <c r="C303" s="1"/>
      <c r="D303" s="2"/>
      <c r="E303" s="3"/>
      <c r="F303" s="3"/>
      <c r="N303" s="2"/>
      <c r="P303" s="4"/>
    </row>
    <row r="304" spans="3:16" ht="15.75" customHeight="1">
      <c r="C304" s="1"/>
      <c r="D304" s="2"/>
      <c r="E304" s="3"/>
      <c r="F304" s="3"/>
      <c r="N304" s="2"/>
      <c r="P304" s="4"/>
    </row>
    <row r="305" spans="3:16" ht="15.75" customHeight="1">
      <c r="C305" s="1"/>
      <c r="D305" s="2"/>
      <c r="E305" s="3"/>
      <c r="F305" s="3"/>
      <c r="N305" s="2"/>
      <c r="P305" s="4"/>
    </row>
    <row r="306" spans="3:16" ht="15.75" customHeight="1">
      <c r="C306" s="1"/>
      <c r="D306" s="2"/>
      <c r="E306" s="3"/>
      <c r="F306" s="3"/>
      <c r="N306" s="2"/>
      <c r="P306" s="4"/>
    </row>
    <row r="307" spans="3:16" ht="15.75" customHeight="1">
      <c r="C307" s="1"/>
      <c r="D307" s="2"/>
      <c r="E307" s="3"/>
      <c r="F307" s="3"/>
      <c r="N307" s="2"/>
      <c r="P307" s="4"/>
    </row>
    <row r="308" spans="3:16" ht="15.75" customHeight="1">
      <c r="C308" s="1"/>
      <c r="D308" s="2"/>
      <c r="E308" s="3"/>
      <c r="F308" s="3"/>
      <c r="N308" s="2"/>
      <c r="P308" s="4"/>
    </row>
    <row r="309" spans="3:16" ht="15.75" customHeight="1">
      <c r="C309" s="1"/>
      <c r="D309" s="2"/>
      <c r="E309" s="3"/>
      <c r="F309" s="3"/>
      <c r="N309" s="2"/>
      <c r="P309" s="4"/>
    </row>
    <row r="310" spans="3:16" ht="15.75" customHeight="1">
      <c r="C310" s="1"/>
      <c r="D310" s="2"/>
      <c r="E310" s="3"/>
      <c r="F310" s="3"/>
      <c r="N310" s="2"/>
      <c r="P310" s="4"/>
    </row>
    <row r="311" spans="3:16" ht="15.75" customHeight="1">
      <c r="C311" s="1"/>
      <c r="D311" s="2"/>
      <c r="E311" s="3"/>
      <c r="F311" s="3"/>
      <c r="N311" s="2"/>
      <c r="P311" s="4"/>
    </row>
    <row r="312" spans="3:16" ht="15.75" customHeight="1">
      <c r="C312" s="1"/>
      <c r="D312" s="2"/>
      <c r="E312" s="3"/>
      <c r="F312" s="3"/>
      <c r="N312" s="2"/>
      <c r="P312" s="4"/>
    </row>
    <row r="313" spans="3:16" ht="15.75" customHeight="1">
      <c r="C313" s="1"/>
      <c r="D313" s="2"/>
      <c r="E313" s="3"/>
      <c r="F313" s="3"/>
      <c r="N313" s="2"/>
      <c r="P313" s="4"/>
    </row>
    <row r="314" spans="3:16" ht="15.75" customHeight="1">
      <c r="C314" s="1"/>
      <c r="D314" s="2"/>
      <c r="E314" s="3"/>
      <c r="F314" s="3"/>
      <c r="N314" s="2"/>
      <c r="P314" s="4"/>
    </row>
    <row r="315" spans="3:16" ht="15.75" customHeight="1">
      <c r="C315" s="1"/>
      <c r="D315" s="2"/>
      <c r="E315" s="3"/>
      <c r="F315" s="3"/>
      <c r="N315" s="2"/>
      <c r="P315" s="4"/>
    </row>
    <row r="316" spans="3:16" ht="15.75" customHeight="1">
      <c r="C316" s="1"/>
      <c r="D316" s="2"/>
      <c r="E316" s="3"/>
      <c r="F316" s="3"/>
      <c r="N316" s="2"/>
      <c r="P316" s="4"/>
    </row>
    <row r="317" spans="3:16" ht="15.75" customHeight="1">
      <c r="C317" s="1"/>
      <c r="D317" s="2"/>
      <c r="E317" s="3"/>
      <c r="F317" s="3"/>
      <c r="N317" s="2"/>
      <c r="P317" s="4"/>
    </row>
    <row r="318" spans="3:16" ht="15.75" customHeight="1">
      <c r="C318" s="1"/>
      <c r="D318" s="2"/>
      <c r="E318" s="3"/>
      <c r="F318" s="3"/>
      <c r="N318" s="2"/>
      <c r="P318" s="4"/>
    </row>
    <row r="319" spans="3:16" ht="15.75" customHeight="1">
      <c r="C319" s="1"/>
      <c r="D319" s="2"/>
      <c r="E319" s="3"/>
      <c r="F319" s="3"/>
      <c r="N319" s="2"/>
      <c r="P319" s="4"/>
    </row>
    <row r="320" spans="3:16" ht="15.75" customHeight="1">
      <c r="C320" s="1"/>
      <c r="D320" s="2"/>
      <c r="E320" s="3"/>
      <c r="F320" s="3"/>
      <c r="N320" s="2"/>
      <c r="P320" s="4"/>
    </row>
    <row r="321" spans="3:16" ht="15.75" customHeight="1">
      <c r="C321" s="1"/>
      <c r="D321" s="2"/>
      <c r="E321" s="3"/>
      <c r="F321" s="3"/>
      <c r="N321" s="2"/>
      <c r="P321" s="4"/>
    </row>
    <row r="322" spans="3:16" ht="15.75" customHeight="1">
      <c r="C322" s="1"/>
      <c r="D322" s="2"/>
      <c r="E322" s="3"/>
      <c r="F322" s="3"/>
      <c r="N322" s="2"/>
      <c r="P322" s="4"/>
    </row>
    <row r="323" spans="3:16" ht="15.75" customHeight="1">
      <c r="C323" s="1"/>
      <c r="D323" s="2"/>
      <c r="E323" s="3"/>
      <c r="F323" s="3"/>
      <c r="N323" s="2"/>
      <c r="P323" s="4"/>
    </row>
    <row r="324" spans="3:16" ht="15.75" customHeight="1">
      <c r="C324" s="1"/>
      <c r="D324" s="2"/>
      <c r="E324" s="3"/>
      <c r="F324" s="3"/>
      <c r="N324" s="2"/>
      <c r="P324" s="4"/>
    </row>
    <row r="325" spans="3:16" ht="15.75" customHeight="1">
      <c r="C325" s="1"/>
      <c r="D325" s="2"/>
      <c r="E325" s="3"/>
      <c r="F325" s="3"/>
      <c r="N325" s="2"/>
      <c r="P325" s="4"/>
    </row>
    <row r="326" spans="3:16" ht="15.75" customHeight="1">
      <c r="C326" s="1"/>
      <c r="D326" s="2"/>
      <c r="E326" s="3"/>
      <c r="F326" s="3"/>
      <c r="N326" s="2"/>
      <c r="P326" s="4"/>
    </row>
    <row r="327" spans="3:16" ht="15.75" customHeight="1">
      <c r="C327" s="1"/>
      <c r="D327" s="2"/>
      <c r="E327" s="3"/>
      <c r="F327" s="3"/>
      <c r="N327" s="2"/>
      <c r="P327" s="4"/>
    </row>
    <row r="328" spans="3:16" ht="15.75" customHeight="1">
      <c r="C328" s="1"/>
      <c r="D328" s="2"/>
      <c r="E328" s="3"/>
      <c r="F328" s="3"/>
      <c r="N328" s="2"/>
      <c r="P328" s="4"/>
    </row>
    <row r="329" spans="3:16" ht="15.75" customHeight="1">
      <c r="C329" s="1"/>
      <c r="D329" s="2"/>
      <c r="E329" s="3"/>
      <c r="F329" s="3"/>
      <c r="N329" s="2"/>
      <c r="P329" s="4"/>
    </row>
    <row r="330" spans="3:16" ht="15.75" customHeight="1">
      <c r="C330" s="1"/>
      <c r="D330" s="2"/>
      <c r="E330" s="3"/>
      <c r="F330" s="3"/>
      <c r="N330" s="2"/>
      <c r="P330" s="4"/>
    </row>
    <row r="331" spans="3:16" ht="15.75" customHeight="1">
      <c r="C331" s="1"/>
      <c r="D331" s="2"/>
      <c r="E331" s="3"/>
      <c r="F331" s="3"/>
      <c r="N331" s="2"/>
      <c r="P331" s="4"/>
    </row>
    <row r="332" spans="3:16" ht="15.75" customHeight="1">
      <c r="C332" s="1"/>
      <c r="D332" s="2"/>
      <c r="E332" s="3"/>
      <c r="F332" s="3"/>
      <c r="N332" s="2"/>
      <c r="P332" s="4"/>
    </row>
    <row r="333" spans="3:16" ht="15.75" customHeight="1">
      <c r="C333" s="1"/>
      <c r="D333" s="2"/>
      <c r="E333" s="3"/>
      <c r="F333" s="3"/>
      <c r="N333" s="2"/>
      <c r="P333" s="4"/>
    </row>
    <row r="334" spans="3:16" ht="15.75" customHeight="1">
      <c r="C334" s="1"/>
      <c r="D334" s="2"/>
      <c r="E334" s="3"/>
      <c r="F334" s="3"/>
      <c r="N334" s="2"/>
      <c r="P334" s="4"/>
    </row>
    <row r="335" spans="3:16" ht="15.75" customHeight="1">
      <c r="C335" s="1"/>
      <c r="D335" s="2"/>
      <c r="E335" s="3"/>
      <c r="F335" s="3"/>
      <c r="N335" s="2"/>
      <c r="P335" s="4"/>
    </row>
    <row r="336" spans="3:16" ht="15.75" customHeight="1">
      <c r="C336" s="1"/>
      <c r="D336" s="2"/>
      <c r="E336" s="3"/>
      <c r="F336" s="3"/>
      <c r="N336" s="2"/>
      <c r="P336" s="4"/>
    </row>
    <row r="337" spans="3:16" ht="15.75" customHeight="1">
      <c r="C337" s="1"/>
      <c r="D337" s="2"/>
      <c r="E337" s="3"/>
      <c r="F337" s="3"/>
      <c r="N337" s="2"/>
      <c r="P337" s="4"/>
    </row>
    <row r="338" spans="3:16" ht="15.75" customHeight="1">
      <c r="C338" s="1"/>
      <c r="D338" s="2"/>
      <c r="E338" s="3"/>
      <c r="F338" s="3"/>
      <c r="N338" s="2"/>
      <c r="P338" s="4"/>
    </row>
    <row r="339" spans="3:16" ht="15.75" customHeight="1">
      <c r="C339" s="1"/>
      <c r="D339" s="2"/>
      <c r="E339" s="3"/>
      <c r="F339" s="3"/>
      <c r="N339" s="2"/>
      <c r="P339" s="4"/>
    </row>
    <row r="340" spans="3:16" ht="15.75" customHeight="1">
      <c r="C340" s="1"/>
      <c r="D340" s="2"/>
      <c r="E340" s="3"/>
      <c r="F340" s="3"/>
      <c r="N340" s="2"/>
      <c r="P340" s="4"/>
    </row>
    <row r="341" spans="3:16" ht="15.75" customHeight="1">
      <c r="C341" s="1"/>
      <c r="D341" s="2"/>
      <c r="E341" s="3"/>
      <c r="F341" s="3"/>
      <c r="N341" s="2"/>
      <c r="P341" s="4"/>
    </row>
    <row r="342" spans="3:16" ht="15.75" customHeight="1">
      <c r="C342" s="1"/>
      <c r="D342" s="2"/>
      <c r="E342" s="3"/>
      <c r="F342" s="3"/>
      <c r="N342" s="2"/>
      <c r="P342" s="4"/>
    </row>
    <row r="343" spans="3:16" ht="15.75" customHeight="1">
      <c r="C343" s="1"/>
      <c r="D343" s="2"/>
      <c r="E343" s="3"/>
      <c r="F343" s="3"/>
      <c r="N343" s="2"/>
      <c r="P343" s="4"/>
    </row>
    <row r="344" spans="3:16" ht="15.75" customHeight="1">
      <c r="C344" s="1"/>
      <c r="D344" s="2"/>
      <c r="E344" s="3"/>
      <c r="F344" s="3"/>
      <c r="N344" s="2"/>
      <c r="P344" s="4"/>
    </row>
    <row r="345" spans="3:16" ht="15.75" customHeight="1">
      <c r="C345" s="1"/>
      <c r="D345" s="2"/>
      <c r="E345" s="3"/>
      <c r="F345" s="3"/>
      <c r="N345" s="2"/>
      <c r="P345" s="4"/>
    </row>
    <row r="346" spans="3:16" ht="15.75" customHeight="1">
      <c r="C346" s="1"/>
      <c r="D346" s="2"/>
      <c r="E346" s="3"/>
      <c r="F346" s="3"/>
      <c r="N346" s="2"/>
      <c r="P346" s="4"/>
    </row>
    <row r="347" spans="3:16" ht="15.75" customHeight="1">
      <c r="C347" s="1"/>
      <c r="D347" s="2"/>
      <c r="E347" s="3"/>
      <c r="F347" s="3"/>
      <c r="N347" s="2"/>
      <c r="P347" s="4"/>
    </row>
    <row r="348" spans="3:16" ht="15.75" customHeight="1">
      <c r="C348" s="1"/>
      <c r="D348" s="2"/>
      <c r="E348" s="3"/>
      <c r="F348" s="3"/>
      <c r="N348" s="2"/>
      <c r="P348" s="4"/>
    </row>
    <row r="349" spans="3:16" ht="15.75" customHeight="1">
      <c r="C349" s="1"/>
      <c r="D349" s="2"/>
      <c r="E349" s="3"/>
      <c r="F349" s="3"/>
      <c r="N349" s="2"/>
      <c r="P349" s="4"/>
    </row>
    <row r="350" spans="3:16" ht="15.75" customHeight="1">
      <c r="C350" s="1"/>
      <c r="D350" s="2"/>
      <c r="E350" s="3"/>
      <c r="F350" s="3"/>
      <c r="N350" s="2"/>
      <c r="P350" s="4"/>
    </row>
    <row r="351" spans="3:16" ht="15.75" customHeight="1">
      <c r="C351" s="1"/>
      <c r="D351" s="2"/>
      <c r="E351" s="3"/>
      <c r="F351" s="3"/>
      <c r="N351" s="2"/>
      <c r="P351" s="4"/>
    </row>
    <row r="352" spans="3:16" ht="15.75" customHeight="1">
      <c r="C352" s="1"/>
      <c r="D352" s="2"/>
      <c r="E352" s="3"/>
      <c r="F352" s="3"/>
      <c r="N352" s="2"/>
      <c r="P352" s="4"/>
    </row>
    <row r="353" spans="3:16" ht="15.75" customHeight="1">
      <c r="C353" s="1"/>
      <c r="D353" s="2"/>
      <c r="E353" s="3"/>
      <c r="F353" s="3"/>
      <c r="N353" s="2"/>
      <c r="P353" s="4"/>
    </row>
    <row r="354" spans="3:16" ht="15.75" customHeight="1">
      <c r="C354" s="1"/>
      <c r="D354" s="2"/>
      <c r="E354" s="3"/>
      <c r="F354" s="3"/>
      <c r="N354" s="2"/>
      <c r="P354" s="4"/>
    </row>
    <row r="355" spans="3:16" ht="15.75" customHeight="1">
      <c r="C355" s="1"/>
      <c r="D355" s="2"/>
      <c r="E355" s="3"/>
      <c r="F355" s="3"/>
      <c r="N355" s="2"/>
      <c r="P355" s="4"/>
    </row>
    <row r="356" spans="3:16" ht="15.75" customHeight="1">
      <c r="C356" s="1"/>
      <c r="D356" s="2"/>
      <c r="E356" s="3"/>
      <c r="F356" s="3"/>
      <c r="N356" s="2"/>
      <c r="P356" s="4"/>
    </row>
    <row r="357" spans="3:16" ht="15.75" customHeight="1">
      <c r="C357" s="1"/>
      <c r="D357" s="2"/>
      <c r="E357" s="3"/>
      <c r="F357" s="3"/>
      <c r="N357" s="2"/>
      <c r="P357" s="4"/>
    </row>
    <row r="358" spans="3:16" ht="15.75" customHeight="1">
      <c r="C358" s="1"/>
      <c r="D358" s="2"/>
      <c r="E358" s="3"/>
      <c r="F358" s="3"/>
      <c r="N358" s="2"/>
      <c r="P358" s="4"/>
    </row>
    <row r="359" spans="3:16" ht="15.75" customHeight="1">
      <c r="C359" s="1"/>
      <c r="D359" s="2"/>
      <c r="E359" s="3"/>
      <c r="F359" s="3"/>
      <c r="N359" s="2"/>
      <c r="P359" s="4"/>
    </row>
    <row r="360" spans="3:16" ht="15.75" customHeight="1">
      <c r="C360" s="1"/>
      <c r="D360" s="2"/>
      <c r="E360" s="3"/>
      <c r="F360" s="3"/>
      <c r="N360" s="2"/>
      <c r="P360" s="4"/>
    </row>
    <row r="361" spans="3:16" ht="15.75" customHeight="1">
      <c r="C361" s="1"/>
      <c r="D361" s="2"/>
      <c r="E361" s="3"/>
      <c r="F361" s="3"/>
      <c r="N361" s="2"/>
      <c r="P361" s="4"/>
    </row>
    <row r="362" spans="3:16" ht="15.75" customHeight="1">
      <c r="C362" s="1"/>
      <c r="D362" s="2"/>
      <c r="E362" s="3"/>
      <c r="F362" s="3"/>
      <c r="N362" s="2"/>
      <c r="P362" s="4"/>
    </row>
    <row r="363" spans="3:16" ht="15.75" customHeight="1">
      <c r="C363" s="1"/>
      <c r="D363" s="2"/>
      <c r="E363" s="3"/>
      <c r="F363" s="3"/>
      <c r="N363" s="2"/>
      <c r="P363" s="4"/>
    </row>
    <row r="364" spans="3:16" ht="15.75" customHeight="1">
      <c r="C364" s="1"/>
      <c r="D364" s="2"/>
      <c r="E364" s="3"/>
      <c r="F364" s="3"/>
      <c r="N364" s="2"/>
      <c r="P364" s="4"/>
    </row>
    <row r="365" spans="3:16" ht="15.75" customHeight="1">
      <c r="C365" s="1"/>
      <c r="D365" s="2"/>
      <c r="E365" s="3"/>
      <c r="F365" s="3"/>
      <c r="N365" s="2"/>
      <c r="P365" s="4"/>
    </row>
    <row r="366" spans="3:16" ht="15.75" customHeight="1">
      <c r="C366" s="1"/>
      <c r="D366" s="2"/>
      <c r="E366" s="3"/>
      <c r="F366" s="3"/>
      <c r="N366" s="2"/>
      <c r="P366" s="4"/>
    </row>
    <row r="367" spans="3:16" ht="15.75" customHeight="1">
      <c r="C367" s="1"/>
      <c r="D367" s="2"/>
      <c r="E367" s="3"/>
      <c r="F367" s="3"/>
      <c r="N367" s="2"/>
      <c r="P367" s="4"/>
    </row>
    <row r="368" spans="3:16" ht="15.75" customHeight="1">
      <c r="C368" s="1"/>
      <c r="D368" s="2"/>
      <c r="E368" s="3"/>
      <c r="F368" s="3"/>
      <c r="N368" s="2"/>
      <c r="P368" s="4"/>
    </row>
    <row r="369" spans="3:16" ht="15.75" customHeight="1">
      <c r="C369" s="1"/>
      <c r="D369" s="2"/>
      <c r="E369" s="3"/>
      <c r="F369" s="3"/>
      <c r="N369" s="2"/>
      <c r="P369" s="4"/>
    </row>
    <row r="370" spans="3:16" ht="15.75" customHeight="1">
      <c r="C370" s="1"/>
      <c r="D370" s="2"/>
      <c r="E370" s="3"/>
      <c r="F370" s="3"/>
      <c r="N370" s="2"/>
      <c r="P370" s="4"/>
    </row>
    <row r="371" spans="3:16" ht="15.75" customHeight="1">
      <c r="C371" s="1"/>
      <c r="D371" s="2"/>
      <c r="E371" s="3"/>
      <c r="F371" s="3"/>
      <c r="N371" s="2"/>
      <c r="P371" s="4"/>
    </row>
    <row r="372" spans="3:16" ht="15.75" customHeight="1">
      <c r="C372" s="1"/>
      <c r="D372" s="2"/>
      <c r="E372" s="3"/>
      <c r="F372" s="3"/>
      <c r="N372" s="2"/>
      <c r="P372" s="4"/>
    </row>
    <row r="373" spans="3:16" ht="15.75" customHeight="1">
      <c r="C373" s="1"/>
      <c r="D373" s="2"/>
      <c r="E373" s="3"/>
      <c r="F373" s="3"/>
      <c r="N373" s="2"/>
      <c r="P373" s="4"/>
    </row>
    <row r="374" spans="3:16" ht="15.75" customHeight="1">
      <c r="C374" s="1"/>
      <c r="D374" s="2"/>
      <c r="E374" s="3"/>
      <c r="F374" s="3"/>
      <c r="N374" s="2"/>
      <c r="P374" s="4"/>
    </row>
    <row r="375" spans="3:16" ht="15.75" customHeight="1">
      <c r="C375" s="1"/>
      <c r="D375" s="2"/>
      <c r="E375" s="3"/>
      <c r="F375" s="3"/>
      <c r="N375" s="2"/>
      <c r="P375" s="4"/>
    </row>
    <row r="376" spans="3:16" ht="15.75" customHeight="1">
      <c r="C376" s="1"/>
      <c r="D376" s="2"/>
      <c r="E376" s="3"/>
      <c r="F376" s="3"/>
      <c r="N376" s="2"/>
      <c r="P376" s="4"/>
    </row>
    <row r="377" spans="3:16" ht="15.75" customHeight="1">
      <c r="C377" s="1"/>
      <c r="D377" s="2"/>
      <c r="E377" s="3"/>
      <c r="F377" s="3"/>
      <c r="N377" s="2"/>
      <c r="P377" s="4"/>
    </row>
    <row r="378" spans="3:16" ht="15.75" customHeight="1">
      <c r="C378" s="1"/>
      <c r="D378" s="2"/>
      <c r="E378" s="3"/>
      <c r="F378" s="3"/>
      <c r="N378" s="2"/>
      <c r="P378" s="4"/>
    </row>
    <row r="379" spans="3:16" ht="15.75" customHeight="1">
      <c r="C379" s="1"/>
      <c r="D379" s="2"/>
      <c r="E379" s="3"/>
      <c r="F379" s="3"/>
      <c r="N379" s="2"/>
      <c r="P379" s="4"/>
    </row>
    <row r="380" spans="3:16" ht="15.75" customHeight="1">
      <c r="C380" s="1"/>
      <c r="D380" s="2"/>
      <c r="E380" s="3"/>
      <c r="F380" s="3"/>
      <c r="N380" s="2"/>
      <c r="P380" s="4"/>
    </row>
    <row r="381" spans="3:16" ht="15.75" customHeight="1">
      <c r="C381" s="1"/>
      <c r="D381" s="2"/>
      <c r="E381" s="3"/>
      <c r="F381" s="3"/>
      <c r="N381" s="2"/>
      <c r="P381" s="4"/>
    </row>
    <row r="382" spans="3:16" ht="15.75" customHeight="1">
      <c r="C382" s="1"/>
      <c r="D382" s="2"/>
      <c r="E382" s="3"/>
      <c r="F382" s="3"/>
      <c r="N382" s="2"/>
      <c r="P382" s="4"/>
    </row>
    <row r="383" spans="3:16" ht="15.75" customHeight="1">
      <c r="C383" s="1"/>
      <c r="D383" s="2"/>
      <c r="E383" s="3"/>
      <c r="F383" s="3"/>
      <c r="N383" s="2"/>
      <c r="P383" s="4"/>
    </row>
    <row r="384" spans="3:16" ht="15.75" customHeight="1">
      <c r="C384" s="1"/>
      <c r="D384" s="2"/>
      <c r="E384" s="3"/>
      <c r="F384" s="3"/>
      <c r="N384" s="2"/>
      <c r="P384" s="4"/>
    </row>
    <row r="385" spans="3:16" ht="15.75" customHeight="1">
      <c r="C385" s="1"/>
      <c r="D385" s="2"/>
      <c r="E385" s="3"/>
      <c r="F385" s="3"/>
      <c r="N385" s="2"/>
      <c r="P385" s="4"/>
    </row>
    <row r="386" spans="3:16" ht="15.75" customHeight="1">
      <c r="C386" s="1"/>
      <c r="D386" s="2"/>
      <c r="E386" s="3"/>
      <c r="F386" s="3"/>
      <c r="N386" s="2"/>
      <c r="P386" s="4"/>
    </row>
    <row r="387" spans="3:16" ht="15.75" customHeight="1">
      <c r="C387" s="1"/>
      <c r="D387" s="2"/>
      <c r="E387" s="3"/>
      <c r="F387" s="3"/>
      <c r="N387" s="2"/>
      <c r="P387" s="4"/>
    </row>
    <row r="388" spans="3:16" ht="15.75" customHeight="1">
      <c r="C388" s="1"/>
      <c r="D388" s="2"/>
      <c r="E388" s="3"/>
      <c r="F388" s="3"/>
      <c r="N388" s="2"/>
      <c r="P388" s="4"/>
    </row>
    <row r="389" spans="3:16" ht="15.75" customHeight="1">
      <c r="C389" s="1"/>
      <c r="D389" s="2"/>
      <c r="E389" s="3"/>
      <c r="F389" s="3"/>
      <c r="N389" s="2"/>
      <c r="P389" s="4"/>
    </row>
    <row r="390" spans="3:16" ht="15.75" customHeight="1">
      <c r="C390" s="1"/>
      <c r="D390" s="2"/>
      <c r="E390" s="3"/>
      <c r="F390" s="3"/>
      <c r="N390" s="2"/>
      <c r="P390" s="4"/>
    </row>
    <row r="391" spans="3:16" ht="15.75" customHeight="1">
      <c r="C391" s="1"/>
      <c r="D391" s="2"/>
      <c r="E391" s="3"/>
      <c r="F391" s="3"/>
      <c r="N391" s="2"/>
      <c r="P391" s="4"/>
    </row>
    <row r="392" spans="3:16" ht="15.75" customHeight="1">
      <c r="C392" s="1"/>
      <c r="D392" s="2"/>
      <c r="E392" s="3"/>
      <c r="F392" s="3"/>
      <c r="N392" s="2"/>
      <c r="P392" s="4"/>
    </row>
    <row r="393" spans="3:16" ht="15.75" customHeight="1">
      <c r="C393" s="1"/>
      <c r="D393" s="2"/>
      <c r="E393" s="3"/>
      <c r="F393" s="3"/>
      <c r="N393" s="2"/>
      <c r="P393" s="4"/>
    </row>
    <row r="394" spans="3:16" ht="15.75" customHeight="1">
      <c r="C394" s="1"/>
      <c r="D394" s="2"/>
      <c r="E394" s="3"/>
      <c r="F394" s="3"/>
      <c r="N394" s="2"/>
      <c r="P394" s="4"/>
    </row>
    <row r="395" spans="3:16" ht="15.75" customHeight="1">
      <c r="C395" s="1"/>
      <c r="D395" s="2"/>
      <c r="E395" s="3"/>
      <c r="F395" s="3"/>
      <c r="N395" s="2"/>
      <c r="P395" s="4"/>
    </row>
    <row r="396" spans="3:16" ht="15.75" customHeight="1">
      <c r="C396" s="1"/>
      <c r="D396" s="2"/>
      <c r="E396" s="3"/>
      <c r="F396" s="3"/>
      <c r="N396" s="2"/>
      <c r="P396" s="4"/>
    </row>
    <row r="397" spans="3:16" ht="15.75" customHeight="1">
      <c r="C397" s="1"/>
      <c r="D397" s="2"/>
      <c r="E397" s="3"/>
      <c r="F397" s="3"/>
      <c r="N397" s="2"/>
      <c r="P397" s="4"/>
    </row>
    <row r="398" spans="3:16" ht="15.75" customHeight="1">
      <c r="C398" s="1"/>
      <c r="D398" s="2"/>
      <c r="E398" s="3"/>
      <c r="F398" s="3"/>
      <c r="N398" s="2"/>
      <c r="P398" s="4"/>
    </row>
    <row r="399" spans="3:16" ht="15.75" customHeight="1">
      <c r="C399" s="1"/>
      <c r="D399" s="2"/>
      <c r="E399" s="3"/>
      <c r="F399" s="3"/>
      <c r="N399" s="2"/>
      <c r="P399" s="4"/>
    </row>
    <row r="400" spans="3:16" ht="15.75" customHeight="1">
      <c r="C400" s="1"/>
      <c r="D400" s="2"/>
      <c r="E400" s="3"/>
      <c r="F400" s="3"/>
      <c r="N400" s="2"/>
      <c r="P400" s="4"/>
    </row>
    <row r="401" spans="3:16" ht="15.75" customHeight="1">
      <c r="C401" s="1"/>
      <c r="D401" s="2"/>
      <c r="E401" s="3"/>
      <c r="F401" s="3"/>
      <c r="N401" s="2"/>
      <c r="P401" s="4"/>
    </row>
    <row r="402" spans="3:16" ht="15.75" customHeight="1">
      <c r="C402" s="1"/>
      <c r="D402" s="2"/>
      <c r="E402" s="3"/>
      <c r="F402" s="3"/>
      <c r="N402" s="2"/>
      <c r="P402" s="4"/>
    </row>
    <row r="403" spans="3:16" ht="15.75" customHeight="1">
      <c r="C403" s="1"/>
      <c r="D403" s="2"/>
      <c r="E403" s="3"/>
      <c r="F403" s="3"/>
      <c r="N403" s="2"/>
      <c r="P403" s="4"/>
    </row>
    <row r="404" spans="3:16" ht="15.75" customHeight="1">
      <c r="C404" s="1"/>
      <c r="D404" s="2"/>
      <c r="E404" s="3"/>
      <c r="F404" s="3"/>
      <c r="N404" s="2"/>
      <c r="P404" s="4"/>
    </row>
    <row r="405" spans="3:16" ht="15.75" customHeight="1">
      <c r="C405" s="1"/>
      <c r="D405" s="2"/>
      <c r="E405" s="3"/>
      <c r="F405" s="3"/>
      <c r="N405" s="2"/>
      <c r="P405" s="4"/>
    </row>
    <row r="406" spans="3:16" ht="15.75" customHeight="1">
      <c r="C406" s="1"/>
      <c r="D406" s="2"/>
      <c r="E406" s="3"/>
      <c r="F406" s="3"/>
      <c r="N406" s="2"/>
      <c r="P406" s="4"/>
    </row>
    <row r="407" spans="3:16" ht="15.75" customHeight="1">
      <c r="C407" s="1"/>
      <c r="D407" s="2"/>
      <c r="E407" s="3"/>
      <c r="F407" s="3"/>
      <c r="N407" s="2"/>
      <c r="P407" s="4"/>
    </row>
    <row r="408" spans="3:16" ht="15.75" customHeight="1">
      <c r="C408" s="1"/>
      <c r="D408" s="2"/>
      <c r="E408" s="3"/>
      <c r="F408" s="3"/>
      <c r="N408" s="2"/>
      <c r="P408" s="4"/>
    </row>
    <row r="409" spans="3:16" ht="15.75" customHeight="1">
      <c r="C409" s="1"/>
      <c r="D409" s="2"/>
      <c r="E409" s="3"/>
      <c r="F409" s="3"/>
      <c r="N409" s="2"/>
      <c r="P409" s="4"/>
    </row>
    <row r="410" spans="3:16" ht="15.75" customHeight="1">
      <c r="C410" s="1"/>
      <c r="D410" s="2"/>
      <c r="E410" s="3"/>
      <c r="F410" s="3"/>
      <c r="N410" s="2"/>
      <c r="P410" s="4"/>
    </row>
    <row r="411" spans="3:16" ht="15.75" customHeight="1">
      <c r="C411" s="1"/>
      <c r="D411" s="2"/>
      <c r="E411" s="3"/>
      <c r="F411" s="3"/>
      <c r="N411" s="2"/>
      <c r="P411" s="4"/>
    </row>
    <row r="412" spans="3:16" ht="15.75" customHeight="1">
      <c r="C412" s="1"/>
      <c r="D412" s="2"/>
      <c r="E412" s="3"/>
      <c r="F412" s="3"/>
      <c r="N412" s="2"/>
      <c r="P412" s="4"/>
    </row>
    <row r="413" spans="3:16" ht="15.75" customHeight="1">
      <c r="C413" s="1"/>
      <c r="D413" s="2"/>
      <c r="E413" s="3"/>
      <c r="F413" s="3"/>
      <c r="N413" s="2"/>
      <c r="P413" s="4"/>
    </row>
    <row r="414" spans="3:16" ht="15.75" customHeight="1">
      <c r="C414" s="1"/>
      <c r="D414" s="2"/>
      <c r="E414" s="3"/>
      <c r="F414" s="3"/>
      <c r="N414" s="2"/>
      <c r="P414" s="4"/>
    </row>
    <row r="415" spans="3:16" ht="15.75" customHeight="1">
      <c r="C415" s="1"/>
      <c r="D415" s="2"/>
      <c r="E415" s="3"/>
      <c r="F415" s="3"/>
      <c r="N415" s="2"/>
      <c r="P415" s="4"/>
    </row>
    <row r="416" spans="3:16" ht="15.75" customHeight="1">
      <c r="C416" s="1"/>
      <c r="D416" s="2"/>
      <c r="E416" s="3"/>
      <c r="F416" s="3"/>
      <c r="N416" s="2"/>
      <c r="P416" s="4"/>
    </row>
    <row r="417" spans="3:16" ht="15.75" customHeight="1">
      <c r="C417" s="1"/>
      <c r="D417" s="2"/>
      <c r="E417" s="3"/>
      <c r="F417" s="3"/>
      <c r="N417" s="2"/>
      <c r="P417" s="4"/>
    </row>
    <row r="418" spans="3:16" ht="15.75" customHeight="1">
      <c r="C418" s="1"/>
      <c r="D418" s="2"/>
      <c r="E418" s="3"/>
      <c r="F418" s="3"/>
      <c r="N418" s="2"/>
      <c r="P418" s="4"/>
    </row>
    <row r="419" spans="3:16" ht="15.75" customHeight="1">
      <c r="C419" s="1"/>
      <c r="D419" s="2"/>
      <c r="E419" s="3"/>
      <c r="F419" s="3"/>
      <c r="N419" s="2"/>
      <c r="P419" s="4"/>
    </row>
    <row r="420" spans="3:16" ht="15.75" customHeight="1">
      <c r="C420" s="1"/>
      <c r="D420" s="2"/>
      <c r="E420" s="3"/>
      <c r="F420" s="3"/>
      <c r="N420" s="2"/>
      <c r="P420" s="4"/>
    </row>
    <row r="421" spans="3:16" ht="15.75" customHeight="1">
      <c r="C421" s="1"/>
      <c r="D421" s="2"/>
      <c r="E421" s="3"/>
      <c r="F421" s="3"/>
      <c r="N421" s="2"/>
      <c r="P421" s="4"/>
    </row>
    <row r="422" spans="3:16" ht="15.75" customHeight="1">
      <c r="C422" s="1"/>
      <c r="D422" s="2"/>
      <c r="E422" s="3"/>
      <c r="F422" s="3"/>
      <c r="N422" s="2"/>
      <c r="P422" s="4"/>
    </row>
    <row r="423" spans="3:16" ht="15.75" customHeight="1">
      <c r="C423" s="1"/>
      <c r="D423" s="2"/>
      <c r="E423" s="3"/>
      <c r="F423" s="3"/>
      <c r="N423" s="2"/>
      <c r="P423" s="4"/>
    </row>
    <row r="424" spans="3:16" ht="15.75" customHeight="1">
      <c r="C424" s="1"/>
      <c r="D424" s="2"/>
      <c r="E424" s="3"/>
      <c r="F424" s="3"/>
      <c r="N424" s="2"/>
      <c r="P424" s="4"/>
    </row>
    <row r="425" spans="3:16" ht="15.75" customHeight="1">
      <c r="C425" s="1"/>
      <c r="D425" s="2"/>
      <c r="E425" s="3"/>
      <c r="F425" s="3"/>
      <c r="N425" s="2"/>
      <c r="P425" s="4"/>
    </row>
    <row r="426" spans="3:16" ht="15.75" customHeight="1">
      <c r="C426" s="1"/>
      <c r="D426" s="2"/>
      <c r="E426" s="3"/>
      <c r="F426" s="3"/>
      <c r="N426" s="2"/>
      <c r="P426" s="4"/>
    </row>
    <row r="427" spans="3:16" ht="15.75" customHeight="1">
      <c r="C427" s="1"/>
      <c r="D427" s="2"/>
      <c r="E427" s="3"/>
      <c r="F427" s="3"/>
      <c r="N427" s="2"/>
      <c r="P427" s="4"/>
    </row>
    <row r="428" spans="3:16" ht="15.75" customHeight="1">
      <c r="C428" s="1"/>
      <c r="D428" s="2"/>
      <c r="E428" s="3"/>
      <c r="F428" s="3"/>
      <c r="N428" s="2"/>
      <c r="P428" s="4"/>
    </row>
    <row r="429" spans="3:16" ht="15.75" customHeight="1">
      <c r="C429" s="1"/>
      <c r="D429" s="2"/>
      <c r="E429" s="3"/>
      <c r="F429" s="3"/>
      <c r="N429" s="2"/>
      <c r="P429" s="4"/>
    </row>
    <row r="430" spans="3:16" ht="15.75" customHeight="1">
      <c r="C430" s="1"/>
      <c r="D430" s="2"/>
      <c r="E430" s="3"/>
      <c r="F430" s="3"/>
      <c r="N430" s="2"/>
      <c r="P430" s="4"/>
    </row>
    <row r="431" spans="3:16" ht="15.75" customHeight="1">
      <c r="C431" s="1"/>
      <c r="D431" s="2"/>
      <c r="E431" s="3"/>
      <c r="F431" s="3"/>
      <c r="N431" s="2"/>
      <c r="P431" s="4"/>
    </row>
    <row r="432" spans="3:16" ht="15.75" customHeight="1">
      <c r="C432" s="1"/>
      <c r="D432" s="2"/>
      <c r="E432" s="3"/>
      <c r="F432" s="3"/>
      <c r="N432" s="2"/>
      <c r="P432" s="4"/>
    </row>
    <row r="433" spans="3:16" ht="15.75" customHeight="1">
      <c r="C433" s="1"/>
      <c r="D433" s="2"/>
      <c r="E433" s="3"/>
      <c r="F433" s="3"/>
      <c r="N433" s="2"/>
      <c r="P433" s="4"/>
    </row>
    <row r="434" spans="3:16" ht="15.75" customHeight="1">
      <c r="C434" s="1"/>
      <c r="D434" s="2"/>
      <c r="E434" s="3"/>
      <c r="F434" s="3"/>
      <c r="N434" s="2"/>
      <c r="P434" s="4"/>
    </row>
    <row r="435" spans="3:16" ht="15.75" customHeight="1">
      <c r="C435" s="1"/>
      <c r="D435" s="2"/>
      <c r="E435" s="3"/>
      <c r="F435" s="3"/>
      <c r="N435" s="2"/>
      <c r="P435" s="4"/>
    </row>
    <row r="436" spans="3:16" ht="15.75" customHeight="1">
      <c r="C436" s="1"/>
      <c r="D436" s="2"/>
      <c r="E436" s="3"/>
      <c r="F436" s="3"/>
      <c r="N436" s="2"/>
      <c r="P436" s="4"/>
    </row>
    <row r="437" spans="3:16" ht="15.75" customHeight="1">
      <c r="C437" s="1"/>
      <c r="D437" s="2"/>
      <c r="E437" s="3"/>
      <c r="F437" s="3"/>
      <c r="N437" s="2"/>
      <c r="P437" s="4"/>
    </row>
    <row r="438" spans="3:16" ht="15.75" customHeight="1">
      <c r="C438" s="1"/>
      <c r="D438" s="2"/>
      <c r="E438" s="3"/>
      <c r="F438" s="3"/>
      <c r="N438" s="2"/>
      <c r="P438" s="4"/>
    </row>
    <row r="439" spans="3:16" ht="15.75" customHeight="1">
      <c r="C439" s="1"/>
      <c r="D439" s="2"/>
      <c r="E439" s="3"/>
      <c r="F439" s="3"/>
      <c r="N439" s="2"/>
      <c r="P439" s="4"/>
    </row>
    <row r="440" spans="3:16" ht="15.75" customHeight="1">
      <c r="C440" s="1"/>
      <c r="D440" s="2"/>
      <c r="E440" s="3"/>
      <c r="F440" s="3"/>
      <c r="N440" s="2"/>
      <c r="P440" s="4"/>
    </row>
    <row r="441" spans="3:16" ht="15.75" customHeight="1">
      <c r="C441" s="1"/>
      <c r="D441" s="2"/>
      <c r="E441" s="3"/>
      <c r="F441" s="3"/>
      <c r="N441" s="2"/>
      <c r="P441" s="4"/>
    </row>
    <row r="442" spans="3:16" ht="15.75" customHeight="1">
      <c r="C442" s="1"/>
      <c r="D442" s="2"/>
      <c r="E442" s="3"/>
      <c r="F442" s="3"/>
      <c r="N442" s="2"/>
      <c r="P442" s="4"/>
    </row>
    <row r="443" spans="3:16" ht="15.75" customHeight="1">
      <c r="C443" s="1"/>
      <c r="D443" s="2"/>
      <c r="E443" s="3"/>
      <c r="F443" s="3"/>
      <c r="N443" s="2"/>
      <c r="P443" s="4"/>
    </row>
    <row r="444" spans="3:16" ht="15.75" customHeight="1">
      <c r="C444" s="1"/>
      <c r="D444" s="2"/>
      <c r="E444" s="3"/>
      <c r="F444" s="3"/>
      <c r="N444" s="2"/>
      <c r="P444" s="4"/>
    </row>
    <row r="445" spans="3:16" ht="15.75" customHeight="1">
      <c r="C445" s="1"/>
      <c r="D445" s="2"/>
      <c r="E445" s="3"/>
      <c r="F445" s="3"/>
      <c r="N445" s="2"/>
      <c r="P445" s="4"/>
    </row>
    <row r="446" spans="3:16" ht="15.75" customHeight="1">
      <c r="C446" s="1"/>
      <c r="D446" s="2"/>
      <c r="E446" s="3"/>
      <c r="F446" s="3"/>
      <c r="N446" s="2"/>
      <c r="P446" s="4"/>
    </row>
    <row r="447" spans="3:16" ht="15.75" customHeight="1">
      <c r="C447" s="1"/>
      <c r="D447" s="2"/>
      <c r="E447" s="3"/>
      <c r="F447" s="3"/>
      <c r="N447" s="2"/>
      <c r="P447" s="4"/>
    </row>
    <row r="448" spans="3:16" ht="15.75" customHeight="1">
      <c r="C448" s="1"/>
      <c r="D448" s="2"/>
      <c r="E448" s="3"/>
      <c r="F448" s="3"/>
      <c r="N448" s="2"/>
      <c r="P448" s="4"/>
    </row>
    <row r="449" spans="3:16" ht="15.75" customHeight="1">
      <c r="C449" s="1"/>
      <c r="D449" s="2"/>
      <c r="E449" s="3"/>
      <c r="F449" s="3"/>
      <c r="N449" s="2"/>
      <c r="P449" s="4"/>
    </row>
    <row r="450" spans="3:16" ht="15.75" customHeight="1">
      <c r="C450" s="1"/>
      <c r="D450" s="2"/>
      <c r="E450" s="3"/>
      <c r="F450" s="3"/>
      <c r="N450" s="2"/>
      <c r="P450" s="4"/>
    </row>
    <row r="451" spans="3:16" ht="15.75" customHeight="1">
      <c r="C451" s="1"/>
      <c r="D451" s="2"/>
      <c r="E451" s="3"/>
      <c r="F451" s="3"/>
      <c r="N451" s="2"/>
      <c r="P451" s="4"/>
    </row>
    <row r="452" spans="3:16" ht="15.75" customHeight="1">
      <c r="C452" s="1"/>
      <c r="D452" s="2"/>
      <c r="E452" s="3"/>
      <c r="F452" s="3"/>
      <c r="N452" s="2"/>
      <c r="P452" s="4"/>
    </row>
    <row r="453" spans="3:16" ht="15.75" customHeight="1">
      <c r="C453" s="1"/>
      <c r="D453" s="2"/>
      <c r="E453" s="3"/>
      <c r="F453" s="3"/>
      <c r="N453" s="2"/>
      <c r="P453" s="4"/>
    </row>
    <row r="454" spans="3:16" ht="15.75" customHeight="1">
      <c r="C454" s="1"/>
      <c r="D454" s="2"/>
      <c r="E454" s="3"/>
      <c r="F454" s="3"/>
      <c r="N454" s="2"/>
      <c r="P454" s="4"/>
    </row>
    <row r="455" spans="3:16" ht="15.75" customHeight="1">
      <c r="C455" s="1"/>
      <c r="D455" s="2"/>
      <c r="E455" s="3"/>
      <c r="F455" s="3"/>
      <c r="N455" s="2"/>
      <c r="P455" s="4"/>
    </row>
    <row r="456" spans="3:16" ht="15.75" customHeight="1">
      <c r="C456" s="1"/>
      <c r="D456" s="2"/>
      <c r="E456" s="3"/>
      <c r="F456" s="3"/>
      <c r="N456" s="2"/>
      <c r="P456" s="4"/>
    </row>
    <row r="457" spans="3:16" ht="15.75" customHeight="1">
      <c r="C457" s="1"/>
      <c r="D457" s="2"/>
      <c r="E457" s="3"/>
      <c r="F457" s="3"/>
      <c r="N457" s="2"/>
      <c r="P457" s="4"/>
    </row>
    <row r="458" spans="3:16" ht="15.75" customHeight="1">
      <c r="C458" s="1"/>
      <c r="D458" s="2"/>
      <c r="E458" s="3"/>
      <c r="F458" s="3"/>
      <c r="N458" s="2"/>
      <c r="P458" s="4"/>
    </row>
    <row r="459" spans="3:16" ht="15.75" customHeight="1">
      <c r="C459" s="1"/>
      <c r="D459" s="2"/>
      <c r="E459" s="3"/>
      <c r="F459" s="3"/>
      <c r="N459" s="2"/>
      <c r="P459" s="4"/>
    </row>
    <row r="460" spans="3:16" ht="15.75" customHeight="1">
      <c r="C460" s="1"/>
      <c r="D460" s="2"/>
      <c r="E460" s="3"/>
      <c r="F460" s="3"/>
      <c r="N460" s="2"/>
      <c r="P460" s="4"/>
    </row>
    <row r="461" spans="3:16" ht="15.75" customHeight="1">
      <c r="C461" s="1"/>
      <c r="D461" s="2"/>
      <c r="E461" s="3"/>
      <c r="F461" s="3"/>
      <c r="N461" s="2"/>
      <c r="P461" s="4"/>
    </row>
    <row r="462" spans="3:16" ht="15.75" customHeight="1">
      <c r="C462" s="1"/>
      <c r="D462" s="2"/>
      <c r="E462" s="3"/>
      <c r="F462" s="3"/>
      <c r="N462" s="2"/>
      <c r="P462" s="4"/>
    </row>
    <row r="463" spans="3:16" ht="15.75" customHeight="1">
      <c r="C463" s="1"/>
      <c r="D463" s="2"/>
      <c r="E463" s="3"/>
      <c r="F463" s="3"/>
      <c r="N463" s="2"/>
      <c r="P463" s="4"/>
    </row>
    <row r="464" spans="3:16" ht="15.75" customHeight="1">
      <c r="C464" s="1"/>
      <c r="D464" s="2"/>
      <c r="E464" s="3"/>
      <c r="F464" s="3"/>
      <c r="N464" s="2"/>
      <c r="P464" s="4"/>
    </row>
    <row r="465" spans="3:16" ht="15.75" customHeight="1">
      <c r="C465" s="1"/>
      <c r="D465" s="2"/>
      <c r="E465" s="3"/>
      <c r="F465" s="3"/>
      <c r="N465" s="2"/>
      <c r="P465" s="4"/>
    </row>
    <row r="466" spans="3:16" ht="15.75" customHeight="1">
      <c r="C466" s="1"/>
      <c r="D466" s="2"/>
      <c r="E466" s="3"/>
      <c r="F466" s="3"/>
      <c r="N466" s="2"/>
      <c r="P466" s="4"/>
    </row>
    <row r="467" spans="3:16" ht="15.75" customHeight="1">
      <c r="C467" s="1"/>
      <c r="D467" s="2"/>
      <c r="E467" s="3"/>
      <c r="F467" s="3"/>
      <c r="N467" s="2"/>
      <c r="P467" s="4"/>
    </row>
    <row r="468" spans="3:16" ht="15.75" customHeight="1">
      <c r="C468" s="1"/>
      <c r="D468" s="2"/>
      <c r="E468" s="3"/>
      <c r="F468" s="3"/>
      <c r="N468" s="2"/>
      <c r="P468" s="4"/>
    </row>
    <row r="469" spans="3:16" ht="15.75" customHeight="1">
      <c r="C469" s="1"/>
      <c r="D469" s="2"/>
      <c r="E469" s="3"/>
      <c r="F469" s="3"/>
      <c r="N469" s="2"/>
      <c r="P469" s="4"/>
    </row>
    <row r="470" spans="3:16" ht="15.75" customHeight="1">
      <c r="C470" s="1"/>
      <c r="D470" s="2"/>
      <c r="E470" s="3"/>
      <c r="F470" s="3"/>
      <c r="N470" s="2"/>
      <c r="P470" s="4"/>
    </row>
    <row r="471" spans="3:16" ht="15.75" customHeight="1">
      <c r="C471" s="1"/>
      <c r="D471" s="2"/>
      <c r="E471" s="3"/>
      <c r="F471" s="3"/>
      <c r="N471" s="2"/>
      <c r="P471" s="4"/>
    </row>
    <row r="472" spans="3:16" ht="15.75" customHeight="1">
      <c r="C472" s="1"/>
      <c r="D472" s="2"/>
      <c r="E472" s="3"/>
      <c r="F472" s="3"/>
      <c r="N472" s="2"/>
      <c r="P472" s="4"/>
    </row>
    <row r="473" spans="3:16" ht="15.75" customHeight="1">
      <c r="C473" s="1"/>
      <c r="D473" s="2"/>
      <c r="E473" s="3"/>
      <c r="F473" s="3"/>
      <c r="N473" s="2"/>
      <c r="P473" s="4"/>
    </row>
    <row r="474" spans="3:16" ht="15.75" customHeight="1">
      <c r="C474" s="1"/>
      <c r="D474" s="2"/>
      <c r="E474" s="3"/>
      <c r="F474" s="3"/>
      <c r="N474" s="2"/>
      <c r="P474" s="4"/>
    </row>
    <row r="475" spans="3:16" ht="15.75" customHeight="1">
      <c r="C475" s="1"/>
      <c r="D475" s="2"/>
      <c r="E475" s="3"/>
      <c r="F475" s="3"/>
      <c r="N475" s="2"/>
      <c r="P475" s="4"/>
    </row>
    <row r="476" spans="3:16" ht="15.75" customHeight="1">
      <c r="C476" s="1"/>
      <c r="D476" s="2"/>
      <c r="E476" s="3"/>
      <c r="F476" s="3"/>
      <c r="N476" s="2"/>
      <c r="P476" s="4"/>
    </row>
    <row r="477" spans="3:16" ht="15.75" customHeight="1">
      <c r="C477" s="1"/>
      <c r="D477" s="2"/>
      <c r="E477" s="3"/>
      <c r="F477" s="3"/>
      <c r="N477" s="2"/>
      <c r="P477" s="4"/>
    </row>
    <row r="478" spans="3:16" ht="15.75" customHeight="1">
      <c r="C478" s="1"/>
      <c r="D478" s="2"/>
      <c r="E478" s="3"/>
      <c r="F478" s="3"/>
      <c r="N478" s="2"/>
      <c r="P478" s="4"/>
    </row>
    <row r="479" spans="3:16" ht="15.75" customHeight="1">
      <c r="C479" s="1"/>
      <c r="D479" s="2"/>
      <c r="E479" s="3"/>
      <c r="F479" s="3"/>
      <c r="N479" s="2"/>
      <c r="P479" s="4"/>
    </row>
    <row r="480" spans="3:16" ht="15.75" customHeight="1">
      <c r="C480" s="1"/>
      <c r="D480" s="2"/>
      <c r="E480" s="3"/>
      <c r="F480" s="3"/>
      <c r="N480" s="2"/>
      <c r="P480" s="4"/>
    </row>
    <row r="481" spans="3:16" ht="15.75" customHeight="1">
      <c r="C481" s="1"/>
      <c r="D481" s="2"/>
      <c r="E481" s="3"/>
      <c r="F481" s="3"/>
      <c r="N481" s="2"/>
      <c r="P481" s="4"/>
    </row>
    <row r="482" spans="3:16" ht="15.75" customHeight="1">
      <c r="C482" s="1"/>
      <c r="D482" s="2"/>
      <c r="E482" s="3"/>
      <c r="F482" s="3"/>
      <c r="N482" s="2"/>
      <c r="P482" s="4"/>
    </row>
    <row r="483" spans="3:16" ht="15.75" customHeight="1">
      <c r="C483" s="1"/>
      <c r="D483" s="2"/>
      <c r="E483" s="3"/>
      <c r="F483" s="3"/>
      <c r="N483" s="2"/>
      <c r="P483" s="4"/>
    </row>
    <row r="484" spans="3:16" ht="15.75" customHeight="1">
      <c r="C484" s="1"/>
      <c r="D484" s="2"/>
      <c r="E484" s="3"/>
      <c r="F484" s="3"/>
      <c r="N484" s="2"/>
      <c r="P484" s="4"/>
    </row>
    <row r="485" spans="3:16" ht="15.75" customHeight="1">
      <c r="C485" s="1"/>
      <c r="D485" s="2"/>
      <c r="E485" s="3"/>
      <c r="F485" s="3"/>
      <c r="N485" s="2"/>
      <c r="P485" s="4"/>
    </row>
    <row r="486" spans="3:16" ht="15.75" customHeight="1">
      <c r="C486" s="1"/>
      <c r="D486" s="2"/>
      <c r="E486" s="3"/>
      <c r="F486" s="3"/>
      <c r="N486" s="2"/>
      <c r="P486" s="4"/>
    </row>
    <row r="487" spans="3:16" ht="15.75" customHeight="1">
      <c r="C487" s="1"/>
      <c r="D487" s="2"/>
      <c r="E487" s="3"/>
      <c r="F487" s="3"/>
      <c r="N487" s="2"/>
      <c r="P487" s="4"/>
    </row>
    <row r="488" spans="3:16" ht="15.75" customHeight="1">
      <c r="C488" s="1"/>
      <c r="D488" s="2"/>
      <c r="E488" s="3"/>
      <c r="F488" s="3"/>
      <c r="N488" s="2"/>
      <c r="P488" s="4"/>
    </row>
    <row r="489" spans="3:16" ht="15.75" customHeight="1">
      <c r="C489" s="1"/>
      <c r="D489" s="2"/>
      <c r="E489" s="3"/>
      <c r="F489" s="3"/>
      <c r="N489" s="2"/>
      <c r="P489" s="4"/>
    </row>
    <row r="490" spans="3:16" ht="15.75" customHeight="1">
      <c r="C490" s="1"/>
      <c r="D490" s="2"/>
      <c r="E490" s="3"/>
      <c r="F490" s="3"/>
      <c r="N490" s="2"/>
      <c r="P490" s="4"/>
    </row>
    <row r="491" spans="3:16" ht="15.75" customHeight="1">
      <c r="C491" s="1"/>
      <c r="D491" s="2"/>
      <c r="E491" s="3"/>
      <c r="F491" s="3"/>
      <c r="N491" s="2"/>
      <c r="P491" s="4"/>
    </row>
    <row r="492" spans="3:16" ht="15.75" customHeight="1">
      <c r="C492" s="1"/>
      <c r="D492" s="2"/>
      <c r="E492" s="3"/>
      <c r="F492" s="3"/>
      <c r="N492" s="2"/>
      <c r="P492" s="4"/>
    </row>
    <row r="493" spans="3:16" ht="15.75" customHeight="1">
      <c r="C493" s="1"/>
      <c r="D493" s="2"/>
      <c r="E493" s="3"/>
      <c r="F493" s="3"/>
      <c r="N493" s="2"/>
      <c r="P493" s="4"/>
    </row>
    <row r="494" spans="3:16" ht="15.75" customHeight="1">
      <c r="C494" s="1"/>
      <c r="D494" s="2"/>
      <c r="E494" s="3"/>
      <c r="F494" s="3"/>
      <c r="N494" s="2"/>
      <c r="P494" s="4"/>
    </row>
    <row r="495" spans="3:16" ht="15.75" customHeight="1">
      <c r="C495" s="1"/>
      <c r="D495" s="2"/>
      <c r="E495" s="3"/>
      <c r="F495" s="3"/>
      <c r="N495" s="2"/>
      <c r="P495" s="4"/>
    </row>
    <row r="496" spans="3:16" ht="15.75" customHeight="1">
      <c r="C496" s="1"/>
      <c r="D496" s="2"/>
      <c r="E496" s="3"/>
      <c r="F496" s="3"/>
      <c r="N496" s="2"/>
      <c r="P496" s="4"/>
    </row>
    <row r="497" spans="3:16" ht="15.75" customHeight="1">
      <c r="C497" s="1"/>
      <c r="D497" s="2"/>
      <c r="E497" s="3"/>
      <c r="F497" s="3"/>
      <c r="N497" s="2"/>
      <c r="P497" s="4"/>
    </row>
    <row r="498" spans="3:16" ht="15.75" customHeight="1">
      <c r="C498" s="1"/>
      <c r="D498" s="2"/>
      <c r="E498" s="3"/>
      <c r="F498" s="3"/>
      <c r="N498" s="2"/>
      <c r="P498" s="4"/>
    </row>
    <row r="499" spans="3:16" ht="15.75" customHeight="1">
      <c r="C499" s="1"/>
      <c r="D499" s="2"/>
      <c r="E499" s="3"/>
      <c r="F499" s="3"/>
      <c r="N499" s="2"/>
      <c r="P499" s="4"/>
    </row>
    <row r="500" spans="3:16" ht="15.75" customHeight="1">
      <c r="C500" s="1"/>
      <c r="D500" s="2"/>
      <c r="E500" s="3"/>
      <c r="F500" s="3"/>
      <c r="N500" s="2"/>
      <c r="P500" s="4"/>
    </row>
    <row r="501" spans="3:16" ht="15.75" customHeight="1">
      <c r="C501" s="1"/>
      <c r="D501" s="2"/>
      <c r="E501" s="3"/>
      <c r="F501" s="3"/>
      <c r="N501" s="2"/>
      <c r="P501" s="4"/>
    </row>
    <row r="502" spans="3:16" ht="15.75" customHeight="1">
      <c r="C502" s="1"/>
      <c r="D502" s="2"/>
      <c r="E502" s="3"/>
      <c r="F502" s="3"/>
      <c r="N502" s="2"/>
      <c r="P502" s="4"/>
    </row>
    <row r="503" spans="3:16" ht="15.75" customHeight="1">
      <c r="C503" s="1"/>
      <c r="D503" s="2"/>
      <c r="E503" s="3"/>
      <c r="F503" s="3"/>
      <c r="N503" s="2"/>
      <c r="P503" s="4"/>
    </row>
    <row r="504" spans="3:16" ht="15.75" customHeight="1">
      <c r="C504" s="1"/>
      <c r="D504" s="2"/>
      <c r="E504" s="3"/>
      <c r="F504" s="3"/>
      <c r="N504" s="2"/>
      <c r="P504" s="4"/>
    </row>
    <row r="505" spans="3:16" ht="15.75" customHeight="1">
      <c r="C505" s="1"/>
      <c r="D505" s="2"/>
      <c r="E505" s="3"/>
      <c r="F505" s="3"/>
      <c r="N505" s="2"/>
      <c r="P505" s="4"/>
    </row>
    <row r="506" spans="3:16" ht="15.75" customHeight="1">
      <c r="C506" s="1"/>
      <c r="D506" s="2"/>
      <c r="E506" s="3"/>
      <c r="F506" s="3"/>
      <c r="N506" s="2"/>
      <c r="P506" s="4"/>
    </row>
    <row r="507" spans="3:16" ht="15.75" customHeight="1">
      <c r="C507" s="1"/>
      <c r="D507" s="2"/>
      <c r="E507" s="3"/>
      <c r="F507" s="3"/>
      <c r="N507" s="2"/>
      <c r="P507" s="4"/>
    </row>
    <row r="508" spans="3:16" ht="15.75" customHeight="1">
      <c r="C508" s="1"/>
      <c r="D508" s="2"/>
      <c r="E508" s="3"/>
      <c r="F508" s="3"/>
      <c r="N508" s="2"/>
      <c r="P508" s="4"/>
    </row>
    <row r="509" spans="3:16" ht="15.75" customHeight="1">
      <c r="C509" s="1"/>
      <c r="D509" s="2"/>
      <c r="E509" s="3"/>
      <c r="F509" s="3"/>
      <c r="N509" s="2"/>
      <c r="P509" s="4"/>
    </row>
    <row r="510" spans="3:16" ht="15.75" customHeight="1">
      <c r="C510" s="1"/>
      <c r="D510" s="2"/>
      <c r="E510" s="3"/>
      <c r="F510" s="3"/>
      <c r="N510" s="2"/>
      <c r="P510" s="4"/>
    </row>
    <row r="511" spans="3:16" ht="15.75" customHeight="1">
      <c r="C511" s="1"/>
      <c r="D511" s="2"/>
      <c r="E511" s="3"/>
      <c r="F511" s="3"/>
      <c r="N511" s="2"/>
      <c r="P511" s="4"/>
    </row>
    <row r="512" spans="3:16" ht="15.75" customHeight="1">
      <c r="C512" s="1"/>
      <c r="D512" s="2"/>
      <c r="E512" s="3"/>
      <c r="F512" s="3"/>
      <c r="N512" s="2"/>
      <c r="P512" s="4"/>
    </row>
    <row r="513" spans="3:16" ht="15.75" customHeight="1">
      <c r="C513" s="1"/>
      <c r="D513" s="2"/>
      <c r="E513" s="3"/>
      <c r="F513" s="3"/>
      <c r="N513" s="2"/>
      <c r="P513" s="4"/>
    </row>
    <row r="514" spans="3:16" ht="15.75" customHeight="1">
      <c r="C514" s="1"/>
      <c r="D514" s="2"/>
      <c r="E514" s="3"/>
      <c r="F514" s="3"/>
      <c r="N514" s="2"/>
      <c r="P514" s="4"/>
    </row>
    <row r="515" spans="3:16" ht="15.75" customHeight="1">
      <c r="C515" s="1"/>
      <c r="D515" s="2"/>
      <c r="E515" s="3"/>
      <c r="F515" s="3"/>
      <c r="N515" s="2"/>
      <c r="P515" s="4"/>
    </row>
    <row r="516" spans="3:16" ht="15.75" customHeight="1">
      <c r="C516" s="1"/>
      <c r="D516" s="2"/>
      <c r="E516" s="3"/>
      <c r="F516" s="3"/>
      <c r="N516" s="2"/>
      <c r="P516" s="4"/>
    </row>
    <row r="517" spans="3:16" ht="15.75" customHeight="1">
      <c r="C517" s="1"/>
      <c r="D517" s="2"/>
      <c r="E517" s="3"/>
      <c r="F517" s="3"/>
      <c r="N517" s="2"/>
      <c r="P517" s="4"/>
    </row>
    <row r="518" spans="3:16" ht="15.75" customHeight="1">
      <c r="C518" s="1"/>
      <c r="D518" s="2"/>
      <c r="E518" s="3"/>
      <c r="F518" s="3"/>
      <c r="N518" s="2"/>
      <c r="P518" s="4"/>
    </row>
    <row r="519" spans="3:16" ht="15.75" customHeight="1">
      <c r="C519" s="1"/>
      <c r="D519" s="2"/>
      <c r="E519" s="3"/>
      <c r="F519" s="3"/>
      <c r="N519" s="2"/>
      <c r="P519" s="4"/>
    </row>
    <row r="520" spans="3:16" ht="15.75" customHeight="1">
      <c r="C520" s="1"/>
      <c r="D520" s="2"/>
      <c r="E520" s="3"/>
      <c r="F520" s="3"/>
      <c r="N520" s="2"/>
      <c r="P520" s="4"/>
    </row>
    <row r="521" spans="3:16" ht="15.75" customHeight="1">
      <c r="C521" s="1"/>
      <c r="D521" s="2"/>
      <c r="E521" s="3"/>
      <c r="F521" s="3"/>
      <c r="N521" s="2"/>
      <c r="P521" s="4"/>
    </row>
    <row r="522" spans="3:16" ht="15.75" customHeight="1">
      <c r="C522" s="1"/>
      <c r="D522" s="2"/>
      <c r="E522" s="3"/>
      <c r="F522" s="3"/>
      <c r="N522" s="2"/>
      <c r="P522" s="4"/>
    </row>
    <row r="523" spans="3:16" ht="15.75" customHeight="1">
      <c r="C523" s="1"/>
      <c r="D523" s="2"/>
      <c r="E523" s="3"/>
      <c r="F523" s="3"/>
      <c r="N523" s="2"/>
      <c r="P523" s="4"/>
    </row>
    <row r="524" spans="3:16" ht="15.75" customHeight="1">
      <c r="C524" s="1"/>
      <c r="D524" s="2"/>
      <c r="E524" s="3"/>
      <c r="F524" s="3"/>
      <c r="N524" s="2"/>
      <c r="P524" s="4"/>
    </row>
    <row r="525" spans="3:16" ht="15.75" customHeight="1">
      <c r="C525" s="1"/>
      <c r="D525" s="2"/>
      <c r="E525" s="3"/>
      <c r="F525" s="3"/>
      <c r="N525" s="2"/>
      <c r="P525" s="4"/>
    </row>
    <row r="526" spans="3:16" ht="15.75" customHeight="1">
      <c r="C526" s="1"/>
      <c r="D526" s="2"/>
      <c r="E526" s="3"/>
      <c r="F526" s="3"/>
      <c r="N526" s="2"/>
      <c r="P526" s="4"/>
    </row>
    <row r="527" spans="3:16" ht="15.75" customHeight="1">
      <c r="C527" s="1"/>
      <c r="D527" s="2"/>
      <c r="E527" s="3"/>
      <c r="F527" s="3"/>
      <c r="N527" s="2"/>
      <c r="P527" s="4"/>
    </row>
    <row r="528" spans="3:16" ht="15.75" customHeight="1">
      <c r="C528" s="1"/>
      <c r="D528" s="2"/>
      <c r="E528" s="3"/>
      <c r="F528" s="3"/>
      <c r="N528" s="2"/>
      <c r="P528" s="4"/>
    </row>
    <row r="529" spans="3:16" ht="15.75" customHeight="1">
      <c r="C529" s="1"/>
      <c r="D529" s="2"/>
      <c r="E529" s="3"/>
      <c r="F529" s="3"/>
      <c r="N529" s="2"/>
      <c r="P529" s="4"/>
    </row>
    <row r="530" spans="3:16" ht="15.75" customHeight="1">
      <c r="C530" s="1"/>
      <c r="D530" s="2"/>
      <c r="E530" s="3"/>
      <c r="F530" s="3"/>
      <c r="N530" s="2"/>
      <c r="P530" s="4"/>
    </row>
    <row r="531" spans="3:16" ht="15.75" customHeight="1">
      <c r="C531" s="1"/>
      <c r="D531" s="2"/>
      <c r="E531" s="3"/>
      <c r="F531" s="3"/>
      <c r="N531" s="2"/>
      <c r="P531" s="4"/>
    </row>
    <row r="532" spans="3:16" ht="15.75" customHeight="1">
      <c r="C532" s="1"/>
      <c r="D532" s="2"/>
      <c r="E532" s="3"/>
      <c r="F532" s="3"/>
      <c r="N532" s="2"/>
      <c r="P532" s="4"/>
    </row>
    <row r="533" spans="3:16" ht="15.75" customHeight="1">
      <c r="C533" s="1"/>
      <c r="D533" s="2"/>
      <c r="E533" s="3"/>
      <c r="F533" s="3"/>
      <c r="N533" s="2"/>
      <c r="P533" s="4"/>
    </row>
    <row r="534" spans="3:16" ht="15.75" customHeight="1">
      <c r="C534" s="1"/>
      <c r="D534" s="2"/>
      <c r="E534" s="3"/>
      <c r="F534" s="3"/>
      <c r="N534" s="2"/>
      <c r="P534" s="4"/>
    </row>
    <row r="535" spans="3:16" ht="15.75" customHeight="1">
      <c r="C535" s="1"/>
      <c r="D535" s="2"/>
      <c r="E535" s="3"/>
      <c r="F535" s="3"/>
      <c r="N535" s="2"/>
      <c r="P535" s="4"/>
    </row>
    <row r="536" spans="3:16" ht="15.75" customHeight="1">
      <c r="C536" s="1"/>
      <c r="D536" s="2"/>
      <c r="E536" s="3"/>
      <c r="F536" s="3"/>
      <c r="N536" s="2"/>
      <c r="P536" s="4"/>
    </row>
    <row r="537" spans="3:16" ht="15.75" customHeight="1">
      <c r="C537" s="1"/>
      <c r="D537" s="2"/>
      <c r="E537" s="3"/>
      <c r="F537" s="3"/>
      <c r="N537" s="2"/>
      <c r="P537" s="4"/>
    </row>
    <row r="538" spans="3:16" ht="15.75" customHeight="1">
      <c r="C538" s="1"/>
      <c r="D538" s="2"/>
      <c r="E538" s="3"/>
      <c r="F538" s="3"/>
      <c r="N538" s="2"/>
      <c r="P538" s="4"/>
    </row>
    <row r="539" spans="3:16" ht="15.75" customHeight="1">
      <c r="C539" s="1"/>
      <c r="D539" s="2"/>
      <c r="E539" s="3"/>
      <c r="F539" s="3"/>
      <c r="N539" s="2"/>
      <c r="P539" s="4"/>
    </row>
    <row r="540" spans="3:16" ht="15.75" customHeight="1">
      <c r="C540" s="1"/>
      <c r="D540" s="2"/>
      <c r="E540" s="3"/>
      <c r="F540" s="3"/>
      <c r="N540" s="2"/>
      <c r="P540" s="4"/>
    </row>
    <row r="541" spans="3:16" ht="15.75" customHeight="1">
      <c r="C541" s="1"/>
      <c r="D541" s="2"/>
      <c r="E541" s="3"/>
      <c r="F541" s="3"/>
      <c r="N541" s="2"/>
      <c r="P541" s="4"/>
    </row>
    <row r="542" spans="3:16" ht="15.75" customHeight="1">
      <c r="C542" s="1"/>
      <c r="D542" s="2"/>
      <c r="E542" s="3"/>
      <c r="F542" s="3"/>
      <c r="N542" s="2"/>
      <c r="P542" s="4"/>
    </row>
    <row r="543" spans="3:16" ht="15.75" customHeight="1">
      <c r="C543" s="1"/>
      <c r="D543" s="2"/>
      <c r="E543" s="3"/>
      <c r="F543" s="3"/>
      <c r="N543" s="2"/>
      <c r="P543" s="4"/>
    </row>
    <row r="544" spans="3:16" ht="15.75" customHeight="1">
      <c r="C544" s="1"/>
      <c r="D544" s="2"/>
      <c r="E544" s="3"/>
      <c r="F544" s="3"/>
      <c r="N544" s="2"/>
      <c r="P544" s="4"/>
    </row>
    <row r="545" spans="3:16" ht="15.75" customHeight="1">
      <c r="C545" s="1"/>
      <c r="D545" s="2"/>
      <c r="E545" s="3"/>
      <c r="F545" s="3"/>
      <c r="N545" s="2"/>
      <c r="P545" s="4"/>
    </row>
    <row r="546" spans="3:16" ht="15.75" customHeight="1">
      <c r="C546" s="1"/>
      <c r="D546" s="2"/>
      <c r="E546" s="3"/>
      <c r="F546" s="3"/>
      <c r="N546" s="2"/>
      <c r="P546" s="4"/>
    </row>
    <row r="547" spans="3:16" ht="15.75" customHeight="1">
      <c r="C547" s="1"/>
      <c r="D547" s="2"/>
      <c r="E547" s="3"/>
      <c r="F547" s="3"/>
      <c r="N547" s="2"/>
      <c r="P547" s="4"/>
    </row>
    <row r="548" spans="3:16" ht="15.75" customHeight="1">
      <c r="C548" s="1"/>
      <c r="D548" s="2"/>
      <c r="E548" s="3"/>
      <c r="F548" s="3"/>
      <c r="N548" s="2"/>
      <c r="P548" s="4"/>
    </row>
    <row r="549" spans="3:16" ht="15.75" customHeight="1">
      <c r="C549" s="1"/>
      <c r="D549" s="2"/>
      <c r="E549" s="3"/>
      <c r="F549" s="3"/>
      <c r="N549" s="2"/>
      <c r="P549" s="4"/>
    </row>
    <row r="550" spans="3:16" ht="15.75" customHeight="1">
      <c r="C550" s="1"/>
      <c r="D550" s="2"/>
      <c r="E550" s="3"/>
      <c r="F550" s="3"/>
      <c r="N550" s="2"/>
      <c r="P550" s="4"/>
    </row>
    <row r="551" spans="3:16" ht="15.75" customHeight="1">
      <c r="C551" s="1"/>
      <c r="D551" s="2"/>
      <c r="E551" s="3"/>
      <c r="F551" s="3"/>
      <c r="N551" s="2"/>
      <c r="P551" s="4"/>
    </row>
    <row r="552" spans="3:16" ht="15.75" customHeight="1">
      <c r="C552" s="1"/>
      <c r="D552" s="2"/>
      <c r="E552" s="3"/>
      <c r="F552" s="3"/>
      <c r="N552" s="2"/>
      <c r="P552" s="4"/>
    </row>
    <row r="553" spans="3:16" ht="15.75" customHeight="1">
      <c r="C553" s="1"/>
      <c r="D553" s="2"/>
      <c r="E553" s="3"/>
      <c r="F553" s="3"/>
      <c r="N553" s="2"/>
      <c r="P553" s="4"/>
    </row>
    <row r="554" spans="3:16" ht="15.75" customHeight="1">
      <c r="C554" s="1"/>
      <c r="D554" s="2"/>
      <c r="E554" s="3"/>
      <c r="F554" s="3"/>
      <c r="N554" s="2"/>
      <c r="P554" s="4"/>
    </row>
    <row r="555" spans="3:16" ht="15.75" customHeight="1">
      <c r="C555" s="1"/>
      <c r="D555" s="2"/>
      <c r="E555" s="3"/>
      <c r="F555" s="3"/>
      <c r="N555" s="2"/>
      <c r="P555" s="4"/>
    </row>
    <row r="556" spans="3:16" ht="15.75" customHeight="1">
      <c r="C556" s="1"/>
      <c r="D556" s="2"/>
      <c r="E556" s="3"/>
      <c r="F556" s="3"/>
      <c r="N556" s="2"/>
      <c r="P556" s="4"/>
    </row>
    <row r="557" spans="3:16" ht="15.75" customHeight="1">
      <c r="C557" s="1"/>
      <c r="D557" s="2"/>
      <c r="E557" s="3"/>
      <c r="F557" s="3"/>
      <c r="N557" s="2"/>
      <c r="P557" s="4"/>
    </row>
    <row r="558" spans="3:16" ht="15.75" customHeight="1">
      <c r="C558" s="1"/>
      <c r="D558" s="2"/>
      <c r="E558" s="3"/>
      <c r="F558" s="3"/>
      <c r="N558" s="2"/>
      <c r="P558" s="4"/>
    </row>
    <row r="559" spans="3:16" ht="15.75" customHeight="1">
      <c r="C559" s="1"/>
      <c r="D559" s="2"/>
      <c r="E559" s="3"/>
      <c r="F559" s="3"/>
      <c r="N559" s="2"/>
      <c r="P559" s="4"/>
    </row>
    <row r="560" spans="3:16" ht="15.75" customHeight="1">
      <c r="C560" s="1"/>
      <c r="D560" s="2"/>
      <c r="E560" s="3"/>
      <c r="F560" s="3"/>
      <c r="N560" s="2"/>
      <c r="P560" s="4"/>
    </row>
    <row r="561" spans="3:16" ht="15.75" customHeight="1">
      <c r="C561" s="1"/>
      <c r="D561" s="2"/>
      <c r="E561" s="3"/>
      <c r="F561" s="3"/>
      <c r="N561" s="2"/>
      <c r="P561" s="4"/>
    </row>
    <row r="562" spans="3:16" ht="15.75" customHeight="1">
      <c r="C562" s="1"/>
      <c r="D562" s="2"/>
      <c r="E562" s="3"/>
      <c r="F562" s="3"/>
      <c r="N562" s="2"/>
      <c r="P562" s="4"/>
    </row>
    <row r="563" spans="3:16" ht="15.75" customHeight="1">
      <c r="C563" s="1"/>
      <c r="D563" s="2"/>
      <c r="E563" s="3"/>
      <c r="F563" s="3"/>
      <c r="N563" s="2"/>
      <c r="P563" s="4"/>
    </row>
    <row r="564" spans="3:16" ht="15.75" customHeight="1">
      <c r="C564" s="1"/>
      <c r="D564" s="2"/>
      <c r="E564" s="3"/>
      <c r="F564" s="3"/>
      <c r="N564" s="2"/>
      <c r="P564" s="4"/>
    </row>
    <row r="565" spans="3:16" ht="15.75" customHeight="1">
      <c r="C565" s="1"/>
      <c r="D565" s="2"/>
      <c r="E565" s="3"/>
      <c r="F565" s="3"/>
      <c r="N565" s="2"/>
      <c r="P565" s="4"/>
    </row>
    <row r="566" spans="3:16" ht="15.75" customHeight="1">
      <c r="C566" s="1"/>
      <c r="D566" s="2"/>
      <c r="E566" s="3"/>
      <c r="F566" s="3"/>
      <c r="N566" s="2"/>
      <c r="P566" s="4"/>
    </row>
    <row r="567" spans="3:16" ht="15.75" customHeight="1">
      <c r="C567" s="1"/>
      <c r="D567" s="2"/>
      <c r="E567" s="3"/>
      <c r="F567" s="3"/>
      <c r="N567" s="2"/>
      <c r="P567" s="4"/>
    </row>
    <row r="568" spans="3:16" ht="15.75" customHeight="1">
      <c r="C568" s="1"/>
      <c r="D568" s="2"/>
      <c r="E568" s="3"/>
      <c r="F568" s="3"/>
      <c r="N568" s="2"/>
      <c r="P568" s="4"/>
    </row>
    <row r="569" spans="3:16" ht="15.75" customHeight="1">
      <c r="C569" s="1"/>
      <c r="D569" s="2"/>
      <c r="E569" s="3"/>
      <c r="F569" s="3"/>
      <c r="N569" s="2"/>
      <c r="P569" s="4"/>
    </row>
    <row r="570" spans="3:16" ht="15.75" customHeight="1">
      <c r="C570" s="1"/>
      <c r="D570" s="2"/>
      <c r="E570" s="3"/>
      <c r="F570" s="3"/>
      <c r="N570" s="2"/>
      <c r="P570" s="4"/>
    </row>
    <row r="571" spans="3:16" ht="15.75" customHeight="1">
      <c r="C571" s="1"/>
      <c r="D571" s="2"/>
      <c r="E571" s="3"/>
      <c r="F571" s="3"/>
      <c r="N571" s="2"/>
      <c r="P571" s="4"/>
    </row>
    <row r="572" spans="3:16" ht="15.75" customHeight="1">
      <c r="C572" s="1"/>
      <c r="D572" s="2"/>
      <c r="E572" s="3"/>
      <c r="F572" s="3"/>
      <c r="N572" s="2"/>
      <c r="P572" s="4"/>
    </row>
    <row r="573" spans="3:16" ht="15.75" customHeight="1">
      <c r="C573" s="1"/>
      <c r="D573" s="2"/>
      <c r="E573" s="3"/>
      <c r="F573" s="3"/>
      <c r="N573" s="2"/>
      <c r="P573" s="4"/>
    </row>
    <row r="574" spans="3:16" ht="15.75" customHeight="1">
      <c r="C574" s="1"/>
      <c r="D574" s="2"/>
      <c r="E574" s="3"/>
      <c r="F574" s="3"/>
      <c r="N574" s="2"/>
      <c r="P574" s="4"/>
    </row>
    <row r="575" spans="3:16" ht="15.75" customHeight="1">
      <c r="C575" s="1"/>
      <c r="D575" s="2"/>
      <c r="E575" s="3"/>
      <c r="F575" s="3"/>
      <c r="N575" s="2"/>
      <c r="P575" s="4"/>
    </row>
    <row r="576" spans="3:16" ht="15.75" customHeight="1">
      <c r="C576" s="1"/>
      <c r="D576" s="2"/>
      <c r="E576" s="3"/>
      <c r="F576" s="3"/>
      <c r="N576" s="2"/>
      <c r="P576" s="4"/>
    </row>
    <row r="577" spans="3:16" ht="15.75" customHeight="1">
      <c r="C577" s="1"/>
      <c r="D577" s="2"/>
      <c r="E577" s="3"/>
      <c r="F577" s="3"/>
      <c r="N577" s="2"/>
      <c r="P577" s="4"/>
    </row>
    <row r="578" spans="3:16" ht="15.75" customHeight="1">
      <c r="C578" s="1"/>
      <c r="D578" s="2"/>
      <c r="E578" s="3"/>
      <c r="F578" s="3"/>
      <c r="N578" s="2"/>
      <c r="P578" s="4"/>
    </row>
    <row r="579" spans="3:16" ht="15.75" customHeight="1">
      <c r="C579" s="1"/>
      <c r="D579" s="2"/>
      <c r="E579" s="3"/>
      <c r="F579" s="3"/>
      <c r="N579" s="2"/>
      <c r="P579" s="4"/>
    </row>
    <row r="580" spans="3:16" ht="15.75" customHeight="1">
      <c r="C580" s="1"/>
      <c r="D580" s="2"/>
      <c r="E580" s="3"/>
      <c r="F580" s="3"/>
      <c r="N580" s="2"/>
      <c r="P580" s="4"/>
    </row>
    <row r="581" spans="3:16" ht="15.75" customHeight="1">
      <c r="C581" s="1"/>
      <c r="D581" s="2"/>
      <c r="E581" s="3"/>
      <c r="F581" s="3"/>
      <c r="N581" s="2"/>
      <c r="P581" s="4"/>
    </row>
    <row r="582" spans="3:16" ht="15.75" customHeight="1">
      <c r="C582" s="1"/>
      <c r="D582" s="2"/>
      <c r="E582" s="3"/>
      <c r="F582" s="3"/>
      <c r="N582" s="2"/>
      <c r="P582" s="4"/>
    </row>
    <row r="583" spans="3:16" ht="15.75" customHeight="1">
      <c r="C583" s="1"/>
      <c r="D583" s="2"/>
      <c r="E583" s="3"/>
      <c r="F583" s="3"/>
      <c r="N583" s="2"/>
      <c r="P583" s="4"/>
    </row>
    <row r="584" spans="3:16" ht="15.75" customHeight="1">
      <c r="C584" s="1"/>
      <c r="D584" s="2"/>
      <c r="E584" s="3"/>
      <c r="F584" s="3"/>
      <c r="N584" s="2"/>
      <c r="P584" s="4"/>
    </row>
    <row r="585" spans="3:16" ht="15.75" customHeight="1">
      <c r="C585" s="1"/>
      <c r="D585" s="2"/>
      <c r="E585" s="3"/>
      <c r="F585" s="3"/>
      <c r="N585" s="2"/>
      <c r="P585" s="4"/>
    </row>
    <row r="586" spans="3:16" ht="15.75" customHeight="1">
      <c r="C586" s="1"/>
      <c r="D586" s="2"/>
      <c r="E586" s="3"/>
      <c r="F586" s="3"/>
      <c r="N586" s="2"/>
      <c r="P586" s="4"/>
    </row>
    <row r="587" spans="3:16" ht="15.75" customHeight="1">
      <c r="C587" s="1"/>
      <c r="D587" s="2"/>
      <c r="E587" s="3"/>
      <c r="F587" s="3"/>
      <c r="N587" s="2"/>
      <c r="P587" s="4"/>
    </row>
    <row r="588" spans="3:16" ht="15.75" customHeight="1">
      <c r="C588" s="1"/>
      <c r="D588" s="2"/>
      <c r="E588" s="3"/>
      <c r="F588" s="3"/>
      <c r="N588" s="2"/>
      <c r="P588" s="4"/>
    </row>
    <row r="589" spans="3:16" ht="15.75" customHeight="1">
      <c r="C589" s="1"/>
      <c r="D589" s="2"/>
      <c r="E589" s="3"/>
      <c r="F589" s="3"/>
      <c r="N589" s="2"/>
      <c r="P589" s="4"/>
    </row>
    <row r="590" spans="3:16" ht="15.75" customHeight="1">
      <c r="C590" s="1"/>
      <c r="D590" s="2"/>
      <c r="E590" s="3"/>
      <c r="F590" s="3"/>
      <c r="N590" s="2"/>
      <c r="P590" s="4"/>
    </row>
    <row r="591" spans="3:16" ht="15.75" customHeight="1">
      <c r="C591" s="1"/>
      <c r="D591" s="2"/>
      <c r="E591" s="3"/>
      <c r="F591" s="3"/>
      <c r="N591" s="2"/>
      <c r="P591" s="4"/>
    </row>
    <row r="592" spans="3:16" ht="15.75" customHeight="1">
      <c r="C592" s="1"/>
      <c r="D592" s="2"/>
      <c r="E592" s="3"/>
      <c r="F592" s="3"/>
      <c r="N592" s="2"/>
      <c r="P592" s="4"/>
    </row>
    <row r="593" spans="3:16" ht="15.75" customHeight="1">
      <c r="C593" s="1"/>
      <c r="D593" s="2"/>
      <c r="E593" s="3"/>
      <c r="F593" s="3"/>
      <c r="N593" s="2"/>
      <c r="P593" s="4"/>
    </row>
    <row r="594" spans="3:16" ht="15.75" customHeight="1">
      <c r="C594" s="1"/>
      <c r="D594" s="2"/>
      <c r="E594" s="3"/>
      <c r="F594" s="3"/>
      <c r="N594" s="2"/>
      <c r="P594" s="4"/>
    </row>
    <row r="595" spans="3:16" ht="15.75" customHeight="1">
      <c r="C595" s="1"/>
      <c r="D595" s="2"/>
      <c r="E595" s="3"/>
      <c r="F595" s="3"/>
      <c r="N595" s="2"/>
      <c r="P595" s="4"/>
    </row>
    <row r="596" spans="3:16" ht="15.75" customHeight="1">
      <c r="C596" s="1"/>
      <c r="D596" s="2"/>
      <c r="E596" s="3"/>
      <c r="F596" s="3"/>
      <c r="N596" s="2"/>
      <c r="P596" s="4"/>
    </row>
    <row r="597" spans="3:16" ht="15.75" customHeight="1">
      <c r="C597" s="1"/>
      <c r="D597" s="2"/>
      <c r="E597" s="3"/>
      <c r="F597" s="3"/>
      <c r="N597" s="2"/>
      <c r="P597" s="4"/>
    </row>
    <row r="598" spans="3:16" ht="15.75" customHeight="1">
      <c r="C598" s="1"/>
      <c r="D598" s="2"/>
      <c r="E598" s="3"/>
      <c r="F598" s="3"/>
      <c r="N598" s="2"/>
      <c r="P598" s="4"/>
    </row>
    <row r="599" spans="3:16" ht="15.75" customHeight="1">
      <c r="C599" s="1"/>
      <c r="D599" s="2"/>
      <c r="E599" s="3"/>
      <c r="F599" s="3"/>
      <c r="N599" s="2"/>
      <c r="P599" s="4"/>
    </row>
    <row r="600" spans="3:16" ht="15.75" customHeight="1">
      <c r="C600" s="1"/>
      <c r="D600" s="2"/>
      <c r="E600" s="3"/>
      <c r="F600" s="3"/>
      <c r="N600" s="2"/>
      <c r="P600" s="4"/>
    </row>
    <row r="601" spans="3:16" ht="15.75" customHeight="1">
      <c r="C601" s="1"/>
      <c r="D601" s="2"/>
      <c r="E601" s="3"/>
      <c r="F601" s="3"/>
      <c r="N601" s="2"/>
      <c r="P601" s="4"/>
    </row>
    <row r="602" spans="3:16" ht="15.75" customHeight="1">
      <c r="C602" s="1"/>
      <c r="D602" s="2"/>
      <c r="E602" s="3"/>
      <c r="F602" s="3"/>
      <c r="N602" s="2"/>
      <c r="P602" s="4"/>
    </row>
    <row r="603" spans="3:16" ht="15.75" customHeight="1">
      <c r="C603" s="1"/>
      <c r="D603" s="2"/>
      <c r="E603" s="3"/>
      <c r="F603" s="3"/>
      <c r="N603" s="2"/>
      <c r="P603" s="4"/>
    </row>
    <row r="604" spans="3:16" ht="15.75" customHeight="1">
      <c r="C604" s="1"/>
      <c r="D604" s="2"/>
      <c r="E604" s="3"/>
      <c r="F604" s="3"/>
      <c r="N604" s="2"/>
      <c r="P604" s="4"/>
    </row>
    <row r="605" spans="3:16" ht="15.75" customHeight="1">
      <c r="C605" s="1"/>
      <c r="D605" s="2"/>
      <c r="E605" s="3"/>
      <c r="F605" s="3"/>
      <c r="N605" s="2"/>
      <c r="P605" s="4"/>
    </row>
    <row r="606" spans="3:16" ht="15.75" customHeight="1">
      <c r="C606" s="1"/>
      <c r="D606" s="2"/>
      <c r="E606" s="3"/>
      <c r="F606" s="3"/>
      <c r="N606" s="2"/>
      <c r="P606" s="4"/>
    </row>
    <row r="607" spans="3:16" ht="15.75" customHeight="1">
      <c r="C607" s="1"/>
      <c r="D607" s="2"/>
      <c r="E607" s="3"/>
      <c r="F607" s="3"/>
      <c r="N607" s="2"/>
      <c r="P607" s="4"/>
    </row>
    <row r="608" spans="3:16" ht="15.75" customHeight="1">
      <c r="C608" s="1"/>
      <c r="D608" s="2"/>
      <c r="E608" s="3"/>
      <c r="F608" s="3"/>
      <c r="N608" s="2"/>
      <c r="P608" s="4"/>
    </row>
    <row r="609" spans="3:16" ht="15.75" customHeight="1">
      <c r="C609" s="1"/>
      <c r="D609" s="2"/>
      <c r="E609" s="3"/>
      <c r="F609" s="3"/>
      <c r="N609" s="2"/>
      <c r="P609" s="4"/>
    </row>
    <row r="610" spans="3:16" ht="15.75" customHeight="1">
      <c r="C610" s="1"/>
      <c r="D610" s="2"/>
      <c r="E610" s="3"/>
      <c r="F610" s="3"/>
      <c r="N610" s="2"/>
      <c r="P610" s="4"/>
    </row>
    <row r="611" spans="3:16" ht="15.75" customHeight="1">
      <c r="C611" s="1"/>
      <c r="D611" s="2"/>
      <c r="E611" s="3"/>
      <c r="F611" s="3"/>
      <c r="N611" s="2"/>
      <c r="P611" s="4"/>
    </row>
    <row r="612" spans="3:16" ht="15.75" customHeight="1">
      <c r="C612" s="1"/>
      <c r="D612" s="2"/>
      <c r="E612" s="3"/>
      <c r="F612" s="3"/>
      <c r="N612" s="2"/>
      <c r="P612" s="4"/>
    </row>
    <row r="613" spans="3:16" ht="15.75" customHeight="1">
      <c r="C613" s="1"/>
      <c r="D613" s="2"/>
      <c r="E613" s="3"/>
      <c r="F613" s="3"/>
      <c r="N613" s="2"/>
      <c r="P613" s="4"/>
    </row>
    <row r="614" spans="3:16" ht="15.75" customHeight="1">
      <c r="C614" s="1"/>
      <c r="D614" s="2"/>
      <c r="E614" s="3"/>
      <c r="F614" s="3"/>
      <c r="N614" s="2"/>
      <c r="P614" s="4"/>
    </row>
    <row r="615" spans="3:16" ht="15.75" customHeight="1">
      <c r="C615" s="1"/>
      <c r="D615" s="2"/>
      <c r="E615" s="3"/>
      <c r="F615" s="3"/>
      <c r="N615" s="2"/>
      <c r="P615" s="4"/>
    </row>
    <row r="616" spans="3:16" ht="15.75" customHeight="1">
      <c r="C616" s="1"/>
      <c r="D616" s="2"/>
      <c r="E616" s="3"/>
      <c r="F616" s="3"/>
      <c r="N616" s="2"/>
      <c r="P616" s="4"/>
    </row>
    <row r="617" spans="3:16" ht="15.75" customHeight="1">
      <c r="C617" s="1"/>
      <c r="D617" s="2"/>
      <c r="E617" s="3"/>
      <c r="F617" s="3"/>
      <c r="N617" s="2"/>
      <c r="P617" s="4"/>
    </row>
    <row r="618" spans="3:16" ht="15.75" customHeight="1">
      <c r="C618" s="1"/>
      <c r="D618" s="2"/>
      <c r="E618" s="3"/>
      <c r="F618" s="3"/>
      <c r="N618" s="2"/>
      <c r="P618" s="4"/>
    </row>
    <row r="619" spans="3:16" ht="15.75" customHeight="1">
      <c r="C619" s="1"/>
      <c r="D619" s="2"/>
      <c r="E619" s="3"/>
      <c r="F619" s="3"/>
      <c r="N619" s="2"/>
      <c r="P619" s="4"/>
    </row>
    <row r="620" spans="3:16" ht="15.75" customHeight="1">
      <c r="C620" s="1"/>
      <c r="D620" s="2"/>
      <c r="E620" s="3"/>
      <c r="F620" s="3"/>
      <c r="N620" s="2"/>
      <c r="P620" s="4"/>
    </row>
    <row r="621" spans="3:16" ht="15.75" customHeight="1">
      <c r="C621" s="1"/>
      <c r="D621" s="2"/>
      <c r="E621" s="3"/>
      <c r="F621" s="3"/>
      <c r="N621" s="2"/>
      <c r="P621" s="4"/>
    </row>
    <row r="622" spans="3:16" ht="15.75" customHeight="1">
      <c r="C622" s="1"/>
      <c r="D622" s="2"/>
      <c r="E622" s="3"/>
      <c r="F622" s="3"/>
      <c r="N622" s="2"/>
      <c r="P622" s="4"/>
    </row>
    <row r="623" spans="3:16" ht="15.75" customHeight="1">
      <c r="C623" s="1"/>
      <c r="D623" s="2"/>
      <c r="E623" s="3"/>
      <c r="F623" s="3"/>
      <c r="N623" s="2"/>
      <c r="P623" s="4"/>
    </row>
    <row r="624" spans="3:16" ht="15.75" customHeight="1">
      <c r="C624" s="1"/>
      <c r="D624" s="2"/>
      <c r="E624" s="3"/>
      <c r="F624" s="3"/>
      <c r="N624" s="2"/>
      <c r="P624" s="4"/>
    </row>
    <row r="625" spans="3:16" ht="15.75" customHeight="1">
      <c r="C625" s="1"/>
      <c r="D625" s="2"/>
      <c r="E625" s="3"/>
      <c r="F625" s="3"/>
      <c r="N625" s="2"/>
      <c r="P625" s="4"/>
    </row>
    <row r="626" spans="3:16" ht="15.75" customHeight="1">
      <c r="C626" s="1"/>
      <c r="D626" s="2"/>
      <c r="E626" s="3"/>
      <c r="F626" s="3"/>
      <c r="N626" s="2"/>
      <c r="P626" s="4"/>
    </row>
    <row r="627" spans="3:16" ht="15.75" customHeight="1">
      <c r="C627" s="1"/>
      <c r="D627" s="2"/>
      <c r="E627" s="3"/>
      <c r="F627" s="3"/>
      <c r="N627" s="2"/>
      <c r="P627" s="4"/>
    </row>
    <row r="628" spans="3:16" ht="15.75" customHeight="1">
      <c r="C628" s="1"/>
      <c r="D628" s="2"/>
      <c r="E628" s="3"/>
      <c r="F628" s="3"/>
      <c r="N628" s="2"/>
      <c r="P628" s="4"/>
    </row>
    <row r="629" spans="3:16" ht="15.75" customHeight="1">
      <c r="C629" s="1"/>
      <c r="D629" s="2"/>
      <c r="E629" s="3"/>
      <c r="F629" s="3"/>
      <c r="N629" s="2"/>
      <c r="P629" s="4"/>
    </row>
    <row r="630" spans="3:16" ht="15.75" customHeight="1">
      <c r="C630" s="1"/>
      <c r="D630" s="2"/>
      <c r="E630" s="3"/>
      <c r="F630" s="3"/>
      <c r="N630" s="2"/>
      <c r="P630" s="4"/>
    </row>
    <row r="631" spans="3:16" ht="15.75" customHeight="1">
      <c r="C631" s="1"/>
      <c r="D631" s="2"/>
      <c r="E631" s="3"/>
      <c r="F631" s="3"/>
      <c r="N631" s="2"/>
      <c r="P631" s="4"/>
    </row>
    <row r="632" spans="3:16" ht="15.75" customHeight="1">
      <c r="C632" s="1"/>
      <c r="D632" s="2"/>
      <c r="E632" s="3"/>
      <c r="F632" s="3"/>
      <c r="N632" s="2"/>
      <c r="P632" s="4"/>
    </row>
    <row r="633" spans="3:16" ht="15.75" customHeight="1">
      <c r="C633" s="1"/>
      <c r="D633" s="2"/>
      <c r="E633" s="3"/>
      <c r="F633" s="3"/>
      <c r="N633" s="2"/>
      <c r="P633" s="4"/>
    </row>
    <row r="634" spans="3:16" ht="15.75" customHeight="1">
      <c r="C634" s="1"/>
      <c r="D634" s="2"/>
      <c r="E634" s="3"/>
      <c r="F634" s="3"/>
      <c r="N634" s="2"/>
      <c r="P634" s="4"/>
    </row>
    <row r="635" spans="3:16" ht="15.75" customHeight="1">
      <c r="C635" s="1"/>
      <c r="D635" s="2"/>
      <c r="E635" s="3"/>
      <c r="F635" s="3"/>
      <c r="N635" s="2"/>
      <c r="P635" s="4"/>
    </row>
    <row r="636" spans="3:16" ht="15.75" customHeight="1">
      <c r="C636" s="1"/>
      <c r="D636" s="2"/>
      <c r="E636" s="3"/>
      <c r="F636" s="3"/>
      <c r="N636" s="2"/>
      <c r="P636" s="4"/>
    </row>
    <row r="637" spans="3:16" ht="15.75" customHeight="1">
      <c r="C637" s="1"/>
      <c r="D637" s="2"/>
      <c r="E637" s="3"/>
      <c r="F637" s="3"/>
      <c r="N637" s="2"/>
      <c r="P637" s="4"/>
    </row>
    <row r="638" spans="3:16" ht="15.75" customHeight="1">
      <c r="C638" s="1"/>
      <c r="D638" s="2"/>
      <c r="E638" s="3"/>
      <c r="F638" s="3"/>
      <c r="N638" s="2"/>
      <c r="P638" s="4"/>
    </row>
    <row r="639" spans="3:16" ht="15.75" customHeight="1">
      <c r="C639" s="1"/>
      <c r="D639" s="2"/>
      <c r="E639" s="3"/>
      <c r="F639" s="3"/>
      <c r="N639" s="2"/>
      <c r="P639" s="4"/>
    </row>
    <row r="640" spans="3:16" ht="15.75" customHeight="1">
      <c r="C640" s="1"/>
      <c r="D640" s="2"/>
      <c r="E640" s="3"/>
      <c r="F640" s="3"/>
      <c r="N640" s="2"/>
      <c r="P640" s="4"/>
    </row>
    <row r="641" spans="3:16" ht="15.75" customHeight="1">
      <c r="C641" s="1"/>
      <c r="D641" s="2"/>
      <c r="E641" s="3"/>
      <c r="F641" s="3"/>
      <c r="N641" s="2"/>
      <c r="P641" s="4"/>
    </row>
    <row r="642" spans="3:16" ht="15.75" customHeight="1">
      <c r="C642" s="1"/>
      <c r="D642" s="2"/>
      <c r="E642" s="3"/>
      <c r="F642" s="3"/>
      <c r="N642" s="2"/>
      <c r="P642" s="4"/>
    </row>
    <row r="643" spans="3:16" ht="15.75" customHeight="1">
      <c r="C643" s="1"/>
      <c r="D643" s="2"/>
      <c r="E643" s="3"/>
      <c r="F643" s="3"/>
      <c r="N643" s="2"/>
      <c r="P643" s="4"/>
    </row>
    <row r="644" spans="3:16" ht="15.75" customHeight="1">
      <c r="C644" s="1"/>
      <c r="D644" s="2"/>
      <c r="E644" s="3"/>
      <c r="F644" s="3"/>
      <c r="N644" s="2"/>
      <c r="P644" s="4"/>
    </row>
    <row r="645" spans="3:16" ht="15.75" customHeight="1">
      <c r="C645" s="1"/>
      <c r="D645" s="2"/>
      <c r="E645" s="3"/>
      <c r="F645" s="3"/>
      <c r="N645" s="2"/>
      <c r="P645" s="4"/>
    </row>
    <row r="646" spans="3:16" ht="15.75" customHeight="1">
      <c r="C646" s="1"/>
      <c r="D646" s="2"/>
      <c r="E646" s="3"/>
      <c r="F646" s="3"/>
      <c r="N646" s="2"/>
      <c r="P646" s="4"/>
    </row>
    <row r="647" spans="3:16" ht="15.75" customHeight="1">
      <c r="C647" s="1"/>
      <c r="D647" s="2"/>
      <c r="E647" s="3"/>
      <c r="F647" s="3"/>
      <c r="N647" s="2"/>
      <c r="P647" s="4"/>
    </row>
    <row r="648" spans="3:16" ht="15.75" customHeight="1">
      <c r="C648" s="1"/>
      <c r="D648" s="2"/>
      <c r="E648" s="3"/>
      <c r="F648" s="3"/>
      <c r="N648" s="2"/>
      <c r="P648" s="4"/>
    </row>
    <row r="649" spans="3:16" ht="15.75" customHeight="1">
      <c r="C649" s="1"/>
      <c r="D649" s="2"/>
      <c r="E649" s="3"/>
      <c r="F649" s="3"/>
      <c r="N649" s="2"/>
      <c r="P649" s="4"/>
    </row>
    <row r="650" spans="3:16" ht="15.75" customHeight="1">
      <c r="C650" s="1"/>
      <c r="D650" s="2"/>
      <c r="E650" s="3"/>
      <c r="F650" s="3"/>
      <c r="N650" s="2"/>
      <c r="P650" s="4"/>
    </row>
    <row r="651" spans="3:16" ht="15.75" customHeight="1">
      <c r="C651" s="1"/>
      <c r="D651" s="2"/>
      <c r="E651" s="3"/>
      <c r="F651" s="3"/>
      <c r="N651" s="2"/>
      <c r="P651" s="4"/>
    </row>
    <row r="652" spans="3:16" ht="15.75" customHeight="1">
      <c r="C652" s="1"/>
      <c r="D652" s="2"/>
      <c r="E652" s="3"/>
      <c r="F652" s="3"/>
      <c r="N652" s="2"/>
      <c r="P652" s="4"/>
    </row>
    <row r="653" spans="3:16" ht="15.75" customHeight="1">
      <c r="C653" s="1"/>
      <c r="D653" s="2"/>
      <c r="E653" s="3"/>
      <c r="F653" s="3"/>
      <c r="N653" s="2"/>
      <c r="P653" s="4"/>
    </row>
    <row r="654" spans="3:16" ht="15.75" customHeight="1">
      <c r="C654" s="1"/>
      <c r="D654" s="2"/>
      <c r="E654" s="3"/>
      <c r="F654" s="3"/>
      <c r="N654" s="2"/>
      <c r="P654" s="4"/>
    </row>
    <row r="655" spans="3:16" ht="15.75" customHeight="1">
      <c r="C655" s="1"/>
      <c r="D655" s="2"/>
      <c r="E655" s="3"/>
      <c r="F655" s="3"/>
      <c r="N655" s="2"/>
      <c r="P655" s="4"/>
    </row>
    <row r="656" spans="3:16" ht="15.75" customHeight="1">
      <c r="C656" s="1"/>
      <c r="D656" s="2"/>
      <c r="E656" s="3"/>
      <c r="F656" s="3"/>
      <c r="N656" s="2"/>
      <c r="P656" s="4"/>
    </row>
    <row r="657" spans="3:16" ht="15.75" customHeight="1">
      <c r="C657" s="1"/>
      <c r="D657" s="2"/>
      <c r="E657" s="3"/>
      <c r="F657" s="3"/>
      <c r="N657" s="2"/>
      <c r="P657" s="4"/>
    </row>
    <row r="658" spans="3:16" ht="15.75" customHeight="1">
      <c r="C658" s="1"/>
      <c r="D658" s="2"/>
      <c r="E658" s="3"/>
      <c r="F658" s="3"/>
      <c r="N658" s="2"/>
      <c r="P658" s="4"/>
    </row>
    <row r="659" spans="3:16" ht="15.75" customHeight="1">
      <c r="C659" s="1"/>
      <c r="D659" s="2"/>
      <c r="E659" s="3"/>
      <c r="F659" s="3"/>
      <c r="N659" s="2"/>
      <c r="P659" s="4"/>
    </row>
    <row r="660" spans="3:16" ht="15.75" customHeight="1">
      <c r="C660" s="1"/>
      <c r="D660" s="2"/>
      <c r="E660" s="3"/>
      <c r="F660" s="3"/>
      <c r="N660" s="2"/>
      <c r="P660" s="4"/>
    </row>
    <row r="661" spans="3:16" ht="15.75" customHeight="1">
      <c r="C661" s="1"/>
      <c r="D661" s="2"/>
      <c r="E661" s="3"/>
      <c r="F661" s="3"/>
      <c r="N661" s="2"/>
      <c r="P661" s="4"/>
    </row>
    <row r="662" spans="3:16" ht="15.75" customHeight="1">
      <c r="C662" s="1"/>
      <c r="D662" s="2"/>
      <c r="E662" s="3"/>
      <c r="F662" s="3"/>
      <c r="N662" s="2"/>
      <c r="P662" s="4"/>
    </row>
    <row r="663" spans="3:16" ht="15.75" customHeight="1">
      <c r="C663" s="1"/>
      <c r="D663" s="2"/>
      <c r="E663" s="3"/>
      <c r="F663" s="3"/>
      <c r="N663" s="2"/>
      <c r="P663" s="4"/>
    </row>
    <row r="664" spans="3:16" ht="15.75" customHeight="1">
      <c r="C664" s="1"/>
      <c r="D664" s="2"/>
      <c r="E664" s="3"/>
      <c r="F664" s="3"/>
      <c r="N664" s="2"/>
      <c r="P664" s="4"/>
    </row>
    <row r="665" spans="3:16" ht="15.75" customHeight="1">
      <c r="C665" s="1"/>
      <c r="D665" s="2"/>
      <c r="E665" s="3"/>
      <c r="F665" s="3"/>
      <c r="N665" s="2"/>
      <c r="P665" s="4"/>
    </row>
    <row r="666" spans="3:16" ht="15.75" customHeight="1">
      <c r="C666" s="1"/>
      <c r="D666" s="2"/>
      <c r="E666" s="3"/>
      <c r="F666" s="3"/>
      <c r="N666" s="2"/>
      <c r="P666" s="4"/>
    </row>
    <row r="667" spans="3:16" ht="15.75" customHeight="1">
      <c r="C667" s="1"/>
      <c r="D667" s="2"/>
      <c r="E667" s="3"/>
      <c r="F667" s="3"/>
      <c r="N667" s="2"/>
      <c r="P667" s="4"/>
    </row>
    <row r="668" spans="3:16" ht="15.75" customHeight="1">
      <c r="C668" s="1"/>
      <c r="D668" s="2"/>
      <c r="E668" s="3"/>
      <c r="F668" s="3"/>
      <c r="N668" s="2"/>
      <c r="P668" s="4"/>
    </row>
    <row r="669" spans="3:16" ht="15.75" customHeight="1">
      <c r="C669" s="1"/>
      <c r="D669" s="2"/>
      <c r="E669" s="3"/>
      <c r="F669" s="3"/>
      <c r="N669" s="2"/>
      <c r="P669" s="4"/>
    </row>
    <row r="670" spans="3:16" ht="15.75" customHeight="1">
      <c r="C670" s="1"/>
      <c r="D670" s="2"/>
      <c r="E670" s="3"/>
      <c r="F670" s="3"/>
      <c r="N670" s="2"/>
      <c r="P670" s="4"/>
    </row>
    <row r="671" spans="3:16" ht="15.75" customHeight="1">
      <c r="C671" s="1"/>
      <c r="D671" s="2"/>
      <c r="E671" s="3"/>
      <c r="F671" s="3"/>
      <c r="N671" s="2"/>
      <c r="P671" s="4"/>
    </row>
    <row r="672" spans="3:16" ht="15.75" customHeight="1">
      <c r="C672" s="1"/>
      <c r="D672" s="2"/>
      <c r="E672" s="3"/>
      <c r="F672" s="3"/>
      <c r="N672" s="2"/>
      <c r="P672" s="4"/>
    </row>
    <row r="673" spans="3:16" ht="15.75" customHeight="1">
      <c r="C673" s="1"/>
      <c r="D673" s="2"/>
      <c r="E673" s="3"/>
      <c r="F673" s="3"/>
      <c r="N673" s="2"/>
      <c r="P673" s="4"/>
    </row>
    <row r="674" spans="3:16" ht="15.75" customHeight="1">
      <c r="C674" s="1"/>
      <c r="D674" s="2"/>
      <c r="E674" s="3"/>
      <c r="F674" s="3"/>
      <c r="N674" s="2"/>
      <c r="P674" s="4"/>
    </row>
    <row r="675" spans="3:16" ht="15.75" customHeight="1">
      <c r="C675" s="1"/>
      <c r="D675" s="2"/>
      <c r="E675" s="3"/>
      <c r="F675" s="3"/>
      <c r="N675" s="2"/>
      <c r="P675" s="4"/>
    </row>
    <row r="676" spans="3:16" ht="15.75" customHeight="1">
      <c r="C676" s="1"/>
      <c r="D676" s="2"/>
      <c r="E676" s="3"/>
      <c r="F676" s="3"/>
      <c r="N676" s="2"/>
      <c r="P676" s="4"/>
    </row>
    <row r="677" spans="3:16" ht="15.75" customHeight="1">
      <c r="C677" s="1"/>
      <c r="D677" s="2"/>
      <c r="E677" s="3"/>
      <c r="F677" s="3"/>
      <c r="N677" s="2"/>
      <c r="P677" s="4"/>
    </row>
    <row r="678" spans="3:16" ht="15.75" customHeight="1">
      <c r="C678" s="1"/>
      <c r="D678" s="2"/>
      <c r="E678" s="3"/>
      <c r="F678" s="3"/>
      <c r="N678" s="2"/>
      <c r="P678" s="4"/>
    </row>
    <row r="679" spans="3:16" ht="15.75" customHeight="1">
      <c r="C679" s="1"/>
      <c r="D679" s="2"/>
      <c r="E679" s="3"/>
      <c r="F679" s="3"/>
      <c r="N679" s="2"/>
      <c r="P679" s="4"/>
    </row>
    <row r="680" spans="3:16" ht="15.75" customHeight="1">
      <c r="C680" s="1"/>
      <c r="D680" s="2"/>
      <c r="E680" s="3"/>
      <c r="F680" s="3"/>
      <c r="N680" s="2"/>
      <c r="P680" s="4"/>
    </row>
    <row r="681" spans="3:16" ht="15.75" customHeight="1">
      <c r="C681" s="1"/>
      <c r="D681" s="2"/>
      <c r="E681" s="3"/>
      <c r="F681" s="3"/>
      <c r="N681" s="2"/>
      <c r="P681" s="4"/>
    </row>
    <row r="682" spans="3:16" ht="15.75" customHeight="1">
      <c r="C682" s="1"/>
      <c r="D682" s="2"/>
      <c r="E682" s="3"/>
      <c r="F682" s="3"/>
      <c r="N682" s="2"/>
      <c r="P682" s="4"/>
    </row>
    <row r="683" spans="3:16" ht="15.75" customHeight="1">
      <c r="C683" s="1"/>
      <c r="D683" s="2"/>
      <c r="E683" s="3"/>
      <c r="F683" s="3"/>
      <c r="N683" s="2"/>
      <c r="P683" s="4"/>
    </row>
    <row r="684" spans="3:16" ht="15.75" customHeight="1">
      <c r="C684" s="1"/>
      <c r="D684" s="2"/>
      <c r="E684" s="3"/>
      <c r="F684" s="3"/>
      <c r="N684" s="2"/>
      <c r="P684" s="4"/>
    </row>
    <row r="685" spans="3:16" ht="15.75" customHeight="1">
      <c r="C685" s="1"/>
      <c r="D685" s="2"/>
      <c r="E685" s="3"/>
      <c r="F685" s="3"/>
      <c r="N685" s="2"/>
      <c r="P685" s="4"/>
    </row>
    <row r="686" spans="3:16" ht="15.75" customHeight="1">
      <c r="C686" s="1"/>
      <c r="D686" s="2"/>
      <c r="E686" s="3"/>
      <c r="F686" s="3"/>
      <c r="N686" s="2"/>
      <c r="P686" s="4"/>
    </row>
    <row r="687" spans="3:16" ht="15.75" customHeight="1">
      <c r="C687" s="1"/>
      <c r="D687" s="2"/>
      <c r="E687" s="3"/>
      <c r="F687" s="3"/>
      <c r="N687" s="2"/>
      <c r="P687" s="4"/>
    </row>
    <row r="688" spans="3:16" ht="15.75" customHeight="1">
      <c r="C688" s="1"/>
      <c r="D688" s="2"/>
      <c r="E688" s="3"/>
      <c r="F688" s="3"/>
      <c r="N688" s="2"/>
      <c r="P688" s="4"/>
    </row>
    <row r="689" spans="3:16" ht="15.75" customHeight="1">
      <c r="C689" s="1"/>
      <c r="D689" s="2"/>
      <c r="E689" s="3"/>
      <c r="F689" s="3"/>
      <c r="N689" s="2"/>
      <c r="P689" s="4"/>
    </row>
    <row r="690" spans="3:16" ht="15.75" customHeight="1">
      <c r="C690" s="1"/>
      <c r="D690" s="2"/>
      <c r="E690" s="3"/>
      <c r="F690" s="3"/>
      <c r="N690" s="2"/>
      <c r="P690" s="4"/>
    </row>
    <row r="691" spans="3:16" ht="15.75" customHeight="1">
      <c r="C691" s="1"/>
      <c r="D691" s="2"/>
      <c r="E691" s="3"/>
      <c r="F691" s="3"/>
      <c r="N691" s="2"/>
      <c r="P691" s="4"/>
    </row>
    <row r="692" spans="3:16" ht="15.75" customHeight="1">
      <c r="C692" s="1"/>
      <c r="D692" s="2"/>
      <c r="E692" s="3"/>
      <c r="F692" s="3"/>
      <c r="N692" s="2"/>
      <c r="P692" s="4"/>
    </row>
    <row r="693" spans="3:16" ht="15.75" customHeight="1">
      <c r="C693" s="1"/>
      <c r="D693" s="2"/>
      <c r="E693" s="3"/>
      <c r="F693" s="3"/>
      <c r="N693" s="2"/>
      <c r="P693" s="4"/>
    </row>
    <row r="694" spans="3:16" ht="15.75" customHeight="1">
      <c r="C694" s="1"/>
      <c r="D694" s="2"/>
      <c r="E694" s="3"/>
      <c r="F694" s="3"/>
      <c r="N694" s="2"/>
      <c r="P694" s="4"/>
    </row>
    <row r="695" spans="3:16" ht="15.75" customHeight="1">
      <c r="C695" s="1"/>
      <c r="D695" s="2"/>
      <c r="E695" s="3"/>
      <c r="F695" s="3"/>
      <c r="N695" s="2"/>
      <c r="P695" s="4"/>
    </row>
    <row r="696" spans="3:16" ht="15.75" customHeight="1">
      <c r="C696" s="1"/>
      <c r="D696" s="2"/>
      <c r="E696" s="3"/>
      <c r="F696" s="3"/>
      <c r="N696" s="2"/>
      <c r="P696" s="4"/>
    </row>
    <row r="697" spans="3:16" ht="15.75" customHeight="1">
      <c r="C697" s="1"/>
      <c r="D697" s="2"/>
      <c r="E697" s="3"/>
      <c r="F697" s="3"/>
      <c r="N697" s="2"/>
      <c r="P697" s="4"/>
    </row>
    <row r="698" spans="3:16" ht="15.75" customHeight="1">
      <c r="C698" s="1"/>
      <c r="D698" s="2"/>
      <c r="E698" s="3"/>
      <c r="F698" s="3"/>
      <c r="N698" s="2"/>
      <c r="P698" s="4"/>
    </row>
    <row r="699" spans="3:16" ht="15.75" customHeight="1">
      <c r="C699" s="1"/>
      <c r="D699" s="2"/>
      <c r="E699" s="3"/>
      <c r="F699" s="3"/>
      <c r="N699" s="2"/>
      <c r="P699" s="4"/>
    </row>
    <row r="700" spans="3:16" ht="15.75" customHeight="1">
      <c r="C700" s="1"/>
      <c r="D700" s="2"/>
      <c r="E700" s="3"/>
      <c r="F700" s="3"/>
      <c r="N700" s="2"/>
      <c r="P700" s="4"/>
    </row>
    <row r="701" spans="3:16" ht="15.75" customHeight="1">
      <c r="C701" s="1"/>
      <c r="D701" s="2"/>
      <c r="E701" s="3"/>
      <c r="F701" s="3"/>
      <c r="N701" s="2"/>
      <c r="P701" s="4"/>
    </row>
    <row r="702" spans="3:16" ht="15.75" customHeight="1">
      <c r="C702" s="1"/>
      <c r="D702" s="2"/>
      <c r="E702" s="3"/>
      <c r="F702" s="3"/>
      <c r="N702" s="2"/>
      <c r="P702" s="4"/>
    </row>
    <row r="703" spans="3:16" ht="15.75" customHeight="1">
      <c r="C703" s="1"/>
      <c r="D703" s="2"/>
      <c r="E703" s="3"/>
      <c r="F703" s="3"/>
      <c r="N703" s="2"/>
      <c r="P703" s="4"/>
    </row>
    <row r="704" spans="3:16" ht="15.75" customHeight="1">
      <c r="C704" s="1"/>
      <c r="D704" s="2"/>
      <c r="E704" s="3"/>
      <c r="F704" s="3"/>
      <c r="N704" s="2"/>
      <c r="P704" s="4"/>
    </row>
    <row r="705" spans="3:16" ht="15.75" customHeight="1">
      <c r="C705" s="1"/>
      <c r="D705" s="2"/>
      <c r="E705" s="3"/>
      <c r="F705" s="3"/>
      <c r="N705" s="2"/>
      <c r="P705" s="4"/>
    </row>
    <row r="706" spans="3:16" ht="15.75" customHeight="1">
      <c r="C706" s="1"/>
      <c r="D706" s="2"/>
      <c r="E706" s="3"/>
      <c r="F706" s="3"/>
      <c r="N706" s="2"/>
      <c r="P706" s="4"/>
    </row>
    <row r="707" spans="3:16" ht="15.75" customHeight="1">
      <c r="C707" s="1"/>
      <c r="D707" s="2"/>
      <c r="E707" s="3"/>
      <c r="F707" s="3"/>
      <c r="N707" s="2"/>
      <c r="P707" s="4"/>
    </row>
    <row r="708" spans="3:16" ht="15.75" customHeight="1">
      <c r="C708" s="1"/>
      <c r="D708" s="2"/>
      <c r="E708" s="3"/>
      <c r="F708" s="3"/>
      <c r="N708" s="2"/>
      <c r="P708" s="4"/>
    </row>
    <row r="709" spans="3:16" ht="15.75" customHeight="1">
      <c r="C709" s="1"/>
      <c r="D709" s="2"/>
      <c r="E709" s="3"/>
      <c r="F709" s="3"/>
      <c r="N709" s="2"/>
      <c r="P709" s="4"/>
    </row>
    <row r="710" spans="3:16" ht="15.75" customHeight="1">
      <c r="C710" s="1"/>
      <c r="D710" s="2"/>
      <c r="E710" s="3"/>
      <c r="F710" s="3"/>
      <c r="N710" s="2"/>
      <c r="P710" s="4"/>
    </row>
    <row r="711" spans="3:16" ht="15.75" customHeight="1">
      <c r="C711" s="1"/>
      <c r="D711" s="2"/>
      <c r="E711" s="3"/>
      <c r="F711" s="3"/>
      <c r="N711" s="2"/>
      <c r="P711" s="4"/>
    </row>
    <row r="712" spans="3:16" ht="15.75" customHeight="1">
      <c r="C712" s="1"/>
      <c r="D712" s="2"/>
      <c r="E712" s="3"/>
      <c r="F712" s="3"/>
      <c r="N712" s="2"/>
      <c r="P712" s="4"/>
    </row>
    <row r="713" spans="3:16" ht="15.75" customHeight="1">
      <c r="C713" s="1"/>
      <c r="D713" s="2"/>
      <c r="E713" s="3"/>
      <c r="F713" s="3"/>
      <c r="N713" s="2"/>
      <c r="P713" s="4"/>
    </row>
    <row r="714" spans="3:16" ht="15.75" customHeight="1">
      <c r="C714" s="1"/>
      <c r="D714" s="2"/>
      <c r="E714" s="3"/>
      <c r="F714" s="3"/>
      <c r="N714" s="2"/>
      <c r="P714" s="4"/>
    </row>
    <row r="715" spans="3:16" ht="15.75" customHeight="1">
      <c r="C715" s="1"/>
      <c r="D715" s="2"/>
      <c r="E715" s="3"/>
      <c r="F715" s="3"/>
      <c r="N715" s="2"/>
      <c r="P715" s="4"/>
    </row>
    <row r="716" spans="3:16" ht="15.75" customHeight="1">
      <c r="C716" s="1"/>
      <c r="D716" s="2"/>
      <c r="E716" s="3"/>
      <c r="F716" s="3"/>
      <c r="N716" s="2"/>
      <c r="P716" s="4"/>
    </row>
    <row r="717" spans="3:16" ht="15.75" customHeight="1">
      <c r="C717" s="1"/>
      <c r="D717" s="2"/>
      <c r="E717" s="3"/>
      <c r="F717" s="3"/>
      <c r="N717" s="2"/>
      <c r="P717" s="4"/>
    </row>
    <row r="718" spans="3:16" ht="15.75" customHeight="1">
      <c r="C718" s="1"/>
      <c r="D718" s="2"/>
      <c r="E718" s="3"/>
      <c r="F718" s="3"/>
      <c r="N718" s="2"/>
      <c r="P718" s="4"/>
    </row>
    <row r="719" spans="3:16" ht="15.75" customHeight="1">
      <c r="C719" s="1"/>
      <c r="D719" s="2"/>
      <c r="E719" s="3"/>
      <c r="F719" s="3"/>
      <c r="N719" s="2"/>
      <c r="P719" s="4"/>
    </row>
    <row r="720" spans="3:16" ht="15.75" customHeight="1">
      <c r="C720" s="1"/>
      <c r="D720" s="2"/>
      <c r="E720" s="3"/>
      <c r="F720" s="3"/>
      <c r="N720" s="2"/>
      <c r="P720" s="4"/>
    </row>
    <row r="721" spans="3:16" ht="15.75" customHeight="1">
      <c r="C721" s="1"/>
      <c r="D721" s="2"/>
      <c r="E721" s="3"/>
      <c r="F721" s="3"/>
      <c r="N721" s="2"/>
      <c r="P721" s="4"/>
    </row>
    <row r="722" spans="3:16" ht="15.75" customHeight="1">
      <c r="C722" s="1"/>
      <c r="D722" s="2"/>
      <c r="E722" s="3"/>
      <c r="F722" s="3"/>
      <c r="N722" s="2"/>
      <c r="P722" s="4"/>
    </row>
    <row r="723" spans="3:16" ht="15.75" customHeight="1">
      <c r="C723" s="1"/>
      <c r="D723" s="2"/>
      <c r="E723" s="3"/>
      <c r="F723" s="3"/>
      <c r="N723" s="2"/>
      <c r="P723" s="4"/>
    </row>
    <row r="724" spans="3:16" ht="15.75" customHeight="1">
      <c r="C724" s="1"/>
      <c r="D724" s="2"/>
      <c r="E724" s="3"/>
      <c r="F724" s="3"/>
      <c r="N724" s="2"/>
      <c r="P724" s="4"/>
    </row>
    <row r="725" spans="3:16" ht="15.75" customHeight="1">
      <c r="C725" s="1"/>
      <c r="D725" s="2"/>
      <c r="E725" s="3"/>
      <c r="F725" s="3"/>
      <c r="N725" s="2"/>
      <c r="P725" s="4"/>
    </row>
    <row r="726" spans="3:16" ht="15.75" customHeight="1">
      <c r="C726" s="1"/>
      <c r="D726" s="2"/>
      <c r="E726" s="3"/>
      <c r="F726" s="3"/>
      <c r="N726" s="2"/>
      <c r="P726" s="4"/>
    </row>
    <row r="727" spans="3:16" ht="15.75" customHeight="1">
      <c r="C727" s="1"/>
      <c r="D727" s="2"/>
      <c r="E727" s="3"/>
      <c r="F727" s="3"/>
      <c r="N727" s="2"/>
      <c r="P727" s="4"/>
    </row>
    <row r="728" spans="3:16" ht="15.75" customHeight="1">
      <c r="C728" s="1"/>
      <c r="D728" s="2"/>
      <c r="E728" s="3"/>
      <c r="F728" s="3"/>
      <c r="N728" s="2"/>
      <c r="P728" s="4"/>
    </row>
    <row r="729" spans="3:16" ht="15.75" customHeight="1">
      <c r="C729" s="1"/>
      <c r="D729" s="2"/>
      <c r="E729" s="3"/>
      <c r="F729" s="3"/>
      <c r="N729" s="2"/>
      <c r="P729" s="4"/>
    </row>
    <row r="730" spans="3:16" ht="15.75" customHeight="1">
      <c r="C730" s="1"/>
      <c r="D730" s="2"/>
      <c r="E730" s="3"/>
      <c r="F730" s="3"/>
      <c r="N730" s="2"/>
      <c r="P730" s="4"/>
    </row>
    <row r="731" spans="3:16" ht="15.75" customHeight="1">
      <c r="C731" s="1"/>
      <c r="D731" s="2"/>
      <c r="E731" s="3"/>
      <c r="F731" s="3"/>
      <c r="N731" s="2"/>
      <c r="P731" s="4"/>
    </row>
    <row r="732" spans="3:16" ht="15.75" customHeight="1">
      <c r="C732" s="1"/>
      <c r="D732" s="2"/>
      <c r="E732" s="3"/>
      <c r="F732" s="3"/>
      <c r="N732" s="2"/>
      <c r="P732" s="4"/>
    </row>
    <row r="733" spans="3:16" ht="15.75" customHeight="1">
      <c r="C733" s="1"/>
      <c r="D733" s="2"/>
      <c r="E733" s="3"/>
      <c r="F733" s="3"/>
      <c r="N733" s="2"/>
      <c r="P733" s="4"/>
    </row>
    <row r="734" spans="3:16" ht="15.75" customHeight="1">
      <c r="C734" s="1"/>
      <c r="D734" s="2"/>
      <c r="E734" s="3"/>
      <c r="F734" s="3"/>
      <c r="N734" s="2"/>
      <c r="P734" s="4"/>
    </row>
    <row r="735" spans="3:16" ht="15.75" customHeight="1">
      <c r="C735" s="1"/>
      <c r="D735" s="2"/>
      <c r="E735" s="3"/>
      <c r="F735" s="3"/>
      <c r="N735" s="2"/>
      <c r="P735" s="4"/>
    </row>
    <row r="736" spans="3:16" ht="15.75" customHeight="1">
      <c r="C736" s="1"/>
      <c r="D736" s="2"/>
      <c r="E736" s="3"/>
      <c r="F736" s="3"/>
      <c r="N736" s="2"/>
      <c r="P736" s="4"/>
    </row>
    <row r="737" spans="3:16" ht="15.75" customHeight="1">
      <c r="C737" s="1"/>
      <c r="D737" s="2"/>
      <c r="E737" s="3"/>
      <c r="F737" s="3"/>
      <c r="N737" s="2"/>
      <c r="P737" s="4"/>
    </row>
    <row r="738" spans="3:16" ht="15.75" customHeight="1">
      <c r="C738" s="1"/>
      <c r="D738" s="2"/>
      <c r="E738" s="3"/>
      <c r="F738" s="3"/>
      <c r="N738" s="2"/>
      <c r="P738" s="4"/>
    </row>
    <row r="739" spans="3:16" ht="15.75" customHeight="1">
      <c r="C739" s="1"/>
      <c r="D739" s="2"/>
      <c r="E739" s="3"/>
      <c r="F739" s="3"/>
      <c r="N739" s="2"/>
      <c r="P739" s="4"/>
    </row>
    <row r="740" spans="3:16" ht="15.75" customHeight="1">
      <c r="C740" s="1"/>
      <c r="D740" s="2"/>
      <c r="E740" s="3"/>
      <c r="F740" s="3"/>
      <c r="N740" s="2"/>
      <c r="P740" s="4"/>
    </row>
    <row r="741" spans="3:16" ht="15.75" customHeight="1">
      <c r="C741" s="1"/>
      <c r="D741" s="2"/>
      <c r="E741" s="3"/>
      <c r="F741" s="3"/>
      <c r="N741" s="2"/>
      <c r="P741" s="4"/>
    </row>
    <row r="742" spans="3:16" ht="15.75" customHeight="1">
      <c r="C742" s="1"/>
      <c r="D742" s="2"/>
      <c r="E742" s="3"/>
      <c r="F742" s="3"/>
      <c r="N742" s="2"/>
      <c r="P742" s="4"/>
    </row>
    <row r="743" spans="3:16" ht="15.75" customHeight="1">
      <c r="C743" s="1"/>
      <c r="D743" s="2"/>
      <c r="E743" s="3"/>
      <c r="F743" s="3"/>
      <c r="N743" s="2"/>
      <c r="P743" s="4"/>
    </row>
    <row r="744" spans="3:16" ht="15.75" customHeight="1">
      <c r="C744" s="1"/>
      <c r="D744" s="2"/>
      <c r="E744" s="3"/>
      <c r="F744" s="3"/>
      <c r="N744" s="2"/>
      <c r="P744" s="4"/>
    </row>
    <row r="745" spans="3:16" ht="15.75" customHeight="1">
      <c r="C745" s="1"/>
      <c r="D745" s="2"/>
      <c r="E745" s="3"/>
      <c r="F745" s="3"/>
      <c r="N745" s="2"/>
      <c r="P745" s="4"/>
    </row>
    <row r="746" spans="3:16" ht="15.75" customHeight="1">
      <c r="C746" s="1"/>
      <c r="D746" s="2"/>
      <c r="E746" s="3"/>
      <c r="F746" s="3"/>
      <c r="N746" s="2"/>
      <c r="P746" s="4"/>
    </row>
    <row r="747" spans="3:16" ht="15.75" customHeight="1">
      <c r="C747" s="1"/>
      <c r="D747" s="2"/>
      <c r="E747" s="3"/>
      <c r="F747" s="3"/>
      <c r="N747" s="2"/>
      <c r="P747" s="4"/>
    </row>
    <row r="748" spans="3:16" ht="15.75" customHeight="1">
      <c r="C748" s="1"/>
      <c r="D748" s="2"/>
      <c r="E748" s="3"/>
      <c r="F748" s="3"/>
      <c r="N748" s="2"/>
      <c r="P748" s="4"/>
    </row>
    <row r="749" spans="3:16" ht="15.75" customHeight="1">
      <c r="C749" s="1"/>
      <c r="D749" s="2"/>
      <c r="E749" s="3"/>
      <c r="F749" s="3"/>
      <c r="N749" s="2"/>
      <c r="P749" s="4"/>
    </row>
    <row r="750" spans="3:16" ht="15.75" customHeight="1">
      <c r="C750" s="1"/>
      <c r="D750" s="2"/>
      <c r="E750" s="3"/>
      <c r="F750" s="3"/>
      <c r="N750" s="2"/>
      <c r="P750" s="4"/>
    </row>
    <row r="751" spans="3:16" ht="15.75" customHeight="1">
      <c r="C751" s="1"/>
      <c r="D751" s="2"/>
      <c r="E751" s="3"/>
      <c r="F751" s="3"/>
      <c r="N751" s="2"/>
      <c r="P751" s="4"/>
    </row>
    <row r="752" spans="3:16" ht="15.75" customHeight="1">
      <c r="C752" s="1"/>
      <c r="D752" s="2"/>
      <c r="E752" s="3"/>
      <c r="F752" s="3"/>
      <c r="N752" s="2"/>
      <c r="P752" s="4"/>
    </row>
    <row r="753" spans="3:16" ht="15.75" customHeight="1">
      <c r="C753" s="1"/>
      <c r="D753" s="2"/>
      <c r="E753" s="3"/>
      <c r="F753" s="3"/>
      <c r="N753" s="2"/>
      <c r="P753" s="4"/>
    </row>
    <row r="754" spans="3:16" ht="15.75" customHeight="1">
      <c r="C754" s="1"/>
      <c r="D754" s="2"/>
      <c r="E754" s="3"/>
      <c r="F754" s="3"/>
      <c r="N754" s="2"/>
      <c r="P754" s="4"/>
    </row>
    <row r="755" spans="3:16" ht="15.75" customHeight="1">
      <c r="C755" s="1"/>
      <c r="D755" s="2"/>
      <c r="E755" s="3"/>
      <c r="F755" s="3"/>
      <c r="N755" s="2"/>
      <c r="P755" s="4"/>
    </row>
    <row r="756" spans="3:16" ht="15.75" customHeight="1">
      <c r="C756" s="1"/>
      <c r="D756" s="2"/>
      <c r="E756" s="3"/>
      <c r="F756" s="3"/>
      <c r="N756" s="2"/>
      <c r="P756" s="4"/>
    </row>
    <row r="757" spans="3:16" ht="15.75" customHeight="1">
      <c r="C757" s="1"/>
      <c r="D757" s="2"/>
      <c r="E757" s="3"/>
      <c r="F757" s="3"/>
      <c r="N757" s="2"/>
      <c r="P757" s="4"/>
    </row>
    <row r="758" spans="3:16" ht="15.75" customHeight="1">
      <c r="C758" s="1"/>
      <c r="D758" s="2"/>
      <c r="E758" s="3"/>
      <c r="F758" s="3"/>
      <c r="N758" s="2"/>
      <c r="P758" s="4"/>
    </row>
    <row r="759" spans="3:16" ht="15.75" customHeight="1">
      <c r="C759" s="1"/>
      <c r="D759" s="2"/>
      <c r="E759" s="3"/>
      <c r="F759" s="3"/>
      <c r="N759" s="2"/>
      <c r="P759" s="4"/>
    </row>
    <row r="760" spans="3:16" ht="15.75" customHeight="1">
      <c r="C760" s="1"/>
      <c r="D760" s="2"/>
      <c r="E760" s="3"/>
      <c r="F760" s="3"/>
      <c r="N760" s="2"/>
      <c r="P760" s="4"/>
    </row>
    <row r="761" spans="3:16" ht="15.75" customHeight="1">
      <c r="C761" s="1"/>
      <c r="D761" s="2"/>
      <c r="E761" s="3"/>
      <c r="F761" s="3"/>
      <c r="N761" s="2"/>
      <c r="P761" s="4"/>
    </row>
    <row r="762" spans="3:16" ht="15.75" customHeight="1">
      <c r="C762" s="1"/>
      <c r="D762" s="2"/>
      <c r="E762" s="3"/>
      <c r="F762" s="3"/>
      <c r="N762" s="2"/>
      <c r="P762" s="4"/>
    </row>
    <row r="763" spans="3:16" ht="15.75" customHeight="1">
      <c r="C763" s="1"/>
      <c r="D763" s="2"/>
      <c r="E763" s="3"/>
      <c r="F763" s="3"/>
      <c r="N763" s="2"/>
      <c r="P763" s="4"/>
    </row>
    <row r="764" spans="3:16" ht="15.75" customHeight="1">
      <c r="C764" s="1"/>
      <c r="D764" s="2"/>
      <c r="E764" s="3"/>
      <c r="F764" s="3"/>
      <c r="N764" s="2"/>
      <c r="P764" s="4"/>
    </row>
    <row r="765" spans="3:16" ht="15.75" customHeight="1">
      <c r="C765" s="1"/>
      <c r="D765" s="2"/>
      <c r="E765" s="3"/>
      <c r="F765" s="3"/>
      <c r="N765" s="2"/>
      <c r="P765" s="4"/>
    </row>
    <row r="766" spans="3:16" ht="15.75" customHeight="1">
      <c r="C766" s="1"/>
      <c r="D766" s="2"/>
      <c r="E766" s="3"/>
      <c r="F766" s="3"/>
      <c r="N766" s="2"/>
      <c r="P766" s="4"/>
    </row>
    <row r="767" spans="3:16" ht="15.75" customHeight="1">
      <c r="C767" s="1"/>
      <c r="D767" s="2"/>
      <c r="E767" s="3"/>
      <c r="F767" s="3"/>
      <c r="N767" s="2"/>
      <c r="P767" s="4"/>
    </row>
    <row r="768" spans="3:16" ht="15.75" customHeight="1">
      <c r="C768" s="1"/>
      <c r="D768" s="2"/>
      <c r="E768" s="3"/>
      <c r="F768" s="3"/>
      <c r="N768" s="2"/>
      <c r="P768" s="4"/>
    </row>
    <row r="769" spans="3:16" ht="15.75" customHeight="1">
      <c r="C769" s="1"/>
      <c r="D769" s="2"/>
      <c r="E769" s="3"/>
      <c r="F769" s="3"/>
      <c r="N769" s="2"/>
      <c r="P769" s="4"/>
    </row>
    <row r="770" spans="3:16" ht="15.75" customHeight="1">
      <c r="C770" s="1"/>
      <c r="D770" s="2"/>
      <c r="E770" s="3"/>
      <c r="F770" s="3"/>
      <c r="N770" s="2"/>
      <c r="P770" s="4"/>
    </row>
    <row r="771" spans="3:16" ht="15.75" customHeight="1">
      <c r="C771" s="1"/>
      <c r="D771" s="2"/>
      <c r="E771" s="3"/>
      <c r="F771" s="3"/>
      <c r="N771" s="2"/>
      <c r="P771" s="4"/>
    </row>
    <row r="772" spans="3:16" ht="15.75" customHeight="1">
      <c r="C772" s="1"/>
      <c r="D772" s="2"/>
      <c r="E772" s="3"/>
      <c r="F772" s="3"/>
      <c r="N772" s="2"/>
      <c r="P772" s="4"/>
    </row>
    <row r="773" spans="3:16" ht="15.75" customHeight="1">
      <c r="C773" s="1"/>
      <c r="D773" s="2"/>
      <c r="E773" s="3"/>
      <c r="F773" s="3"/>
      <c r="N773" s="2"/>
      <c r="P773" s="4"/>
    </row>
    <row r="774" spans="3:16" ht="15.75" customHeight="1">
      <c r="C774" s="1"/>
      <c r="D774" s="2"/>
      <c r="E774" s="3"/>
      <c r="F774" s="3"/>
      <c r="N774" s="2"/>
      <c r="P774" s="4"/>
    </row>
    <row r="775" spans="3:16" ht="15.75" customHeight="1">
      <c r="C775" s="1"/>
      <c r="D775" s="2"/>
      <c r="E775" s="3"/>
      <c r="F775" s="3"/>
      <c r="N775" s="2"/>
      <c r="P775" s="4"/>
    </row>
    <row r="776" spans="3:16" ht="15.75" customHeight="1">
      <c r="C776" s="1"/>
      <c r="D776" s="2"/>
      <c r="E776" s="3"/>
      <c r="F776" s="3"/>
      <c r="N776" s="2"/>
      <c r="P776" s="4"/>
    </row>
    <row r="777" spans="3:16" ht="15.75" customHeight="1">
      <c r="C777" s="1"/>
      <c r="D777" s="2"/>
      <c r="E777" s="3"/>
      <c r="F777" s="3"/>
      <c r="N777" s="2"/>
      <c r="P777" s="4"/>
    </row>
    <row r="778" spans="3:16" ht="15.75" customHeight="1">
      <c r="C778" s="1"/>
      <c r="D778" s="2"/>
      <c r="E778" s="3"/>
      <c r="F778" s="3"/>
      <c r="N778" s="2"/>
      <c r="P778" s="4"/>
    </row>
    <row r="779" spans="3:16" ht="15.75" customHeight="1">
      <c r="C779" s="1"/>
      <c r="D779" s="2"/>
      <c r="E779" s="3"/>
      <c r="F779" s="3"/>
      <c r="N779" s="2"/>
      <c r="P779" s="4"/>
    </row>
    <row r="780" spans="3:16" ht="15.75" customHeight="1">
      <c r="C780" s="1"/>
      <c r="D780" s="2"/>
      <c r="E780" s="3"/>
      <c r="F780" s="3"/>
      <c r="N780" s="2"/>
      <c r="P780" s="4"/>
    </row>
    <row r="781" spans="3:16" ht="15.75" customHeight="1">
      <c r="C781" s="1"/>
      <c r="D781" s="2"/>
      <c r="E781" s="3"/>
      <c r="F781" s="3"/>
      <c r="N781" s="2"/>
      <c r="P781" s="4"/>
    </row>
    <row r="782" spans="3:16" ht="15.75" customHeight="1">
      <c r="C782" s="1"/>
      <c r="D782" s="2"/>
      <c r="E782" s="3"/>
      <c r="F782" s="3"/>
      <c r="N782" s="2"/>
      <c r="P782" s="4"/>
    </row>
    <row r="783" spans="3:16" ht="15.75" customHeight="1">
      <c r="C783" s="1"/>
      <c r="D783" s="2"/>
      <c r="E783" s="3"/>
      <c r="F783" s="3"/>
      <c r="N783" s="2"/>
      <c r="P783" s="4"/>
    </row>
    <row r="784" spans="3:16" ht="15.75" customHeight="1">
      <c r="C784" s="1"/>
      <c r="D784" s="2"/>
      <c r="E784" s="3"/>
      <c r="F784" s="3"/>
      <c r="N784" s="2"/>
      <c r="P784" s="4"/>
    </row>
    <row r="785" spans="3:16" ht="15.75" customHeight="1">
      <c r="C785" s="1"/>
      <c r="D785" s="2"/>
      <c r="E785" s="3"/>
      <c r="F785" s="3"/>
      <c r="N785" s="2"/>
      <c r="P785" s="4"/>
    </row>
    <row r="786" spans="3:16" ht="15.75" customHeight="1">
      <c r="C786" s="1"/>
      <c r="D786" s="2"/>
      <c r="E786" s="3"/>
      <c r="F786" s="3"/>
      <c r="N786" s="2"/>
      <c r="P786" s="4"/>
    </row>
    <row r="787" spans="3:16" ht="15.75" customHeight="1">
      <c r="C787" s="1"/>
      <c r="D787" s="2"/>
      <c r="E787" s="3"/>
      <c r="F787" s="3"/>
      <c r="N787" s="2"/>
      <c r="P787" s="4"/>
    </row>
    <row r="788" spans="3:16" ht="15.75" customHeight="1">
      <c r="C788" s="1"/>
      <c r="D788" s="2"/>
      <c r="E788" s="3"/>
      <c r="F788" s="3"/>
      <c r="N788" s="2"/>
      <c r="P788" s="4"/>
    </row>
    <row r="789" spans="3:16" ht="15.75" customHeight="1">
      <c r="C789" s="1"/>
      <c r="D789" s="2"/>
      <c r="E789" s="3"/>
      <c r="F789" s="3"/>
      <c r="N789" s="2"/>
      <c r="P789" s="4"/>
    </row>
    <row r="790" spans="3:16" ht="15.75" customHeight="1">
      <c r="C790" s="1"/>
      <c r="D790" s="2"/>
      <c r="E790" s="3"/>
      <c r="F790" s="3"/>
      <c r="N790" s="2"/>
      <c r="P790" s="4"/>
    </row>
    <row r="791" spans="3:16" ht="15.75" customHeight="1">
      <c r="C791" s="1"/>
      <c r="D791" s="2"/>
      <c r="E791" s="3"/>
      <c r="F791" s="3"/>
      <c r="N791" s="2"/>
      <c r="P791" s="4"/>
    </row>
    <row r="792" spans="3:16" ht="15.75" customHeight="1">
      <c r="C792" s="1"/>
      <c r="D792" s="2"/>
      <c r="E792" s="3"/>
      <c r="F792" s="3"/>
      <c r="N792" s="2"/>
      <c r="P792" s="4"/>
    </row>
    <row r="793" spans="3:16" ht="15.75" customHeight="1">
      <c r="C793" s="1"/>
      <c r="D793" s="2"/>
      <c r="E793" s="3"/>
      <c r="F793" s="3"/>
      <c r="N793" s="2"/>
      <c r="P793" s="4"/>
    </row>
    <row r="794" spans="3:16" ht="15.75" customHeight="1">
      <c r="C794" s="1"/>
      <c r="D794" s="2"/>
      <c r="E794" s="3"/>
      <c r="F794" s="3"/>
      <c r="N794" s="2"/>
      <c r="P794" s="4"/>
    </row>
    <row r="795" spans="3:16" ht="15.75" customHeight="1">
      <c r="C795" s="1"/>
      <c r="D795" s="2"/>
      <c r="E795" s="3"/>
      <c r="F795" s="3"/>
      <c r="N795" s="2"/>
      <c r="P795" s="4"/>
    </row>
    <row r="796" spans="3:16" ht="15.75" customHeight="1">
      <c r="C796" s="1"/>
      <c r="D796" s="2"/>
      <c r="E796" s="3"/>
      <c r="F796" s="3"/>
      <c r="N796" s="2"/>
      <c r="P796" s="4"/>
    </row>
    <row r="797" spans="3:16" ht="15.75" customHeight="1">
      <c r="C797" s="1"/>
      <c r="D797" s="2"/>
      <c r="E797" s="3"/>
      <c r="F797" s="3"/>
      <c r="N797" s="2"/>
      <c r="P797" s="4"/>
    </row>
    <row r="798" spans="3:16" ht="15.75" customHeight="1">
      <c r="C798" s="1"/>
      <c r="D798" s="2"/>
      <c r="E798" s="3"/>
      <c r="F798" s="3"/>
      <c r="N798" s="2"/>
      <c r="P798" s="4"/>
    </row>
    <row r="799" spans="3:16" ht="15.75" customHeight="1">
      <c r="C799" s="1"/>
      <c r="D799" s="2"/>
      <c r="E799" s="3"/>
      <c r="F799" s="3"/>
      <c r="N799" s="2"/>
      <c r="P799" s="4"/>
    </row>
    <row r="800" spans="3:16" ht="15.75" customHeight="1">
      <c r="C800" s="1"/>
      <c r="D800" s="2"/>
      <c r="E800" s="3"/>
      <c r="F800" s="3"/>
      <c r="N800" s="2"/>
      <c r="P800" s="4"/>
    </row>
    <row r="801" spans="3:16" ht="15.75" customHeight="1">
      <c r="C801" s="1"/>
      <c r="D801" s="2"/>
      <c r="E801" s="3"/>
      <c r="F801" s="3"/>
      <c r="N801" s="2"/>
      <c r="P801" s="4"/>
    </row>
    <row r="802" spans="3:16" ht="15.75" customHeight="1">
      <c r="C802" s="1"/>
      <c r="D802" s="2"/>
      <c r="E802" s="3"/>
      <c r="F802" s="3"/>
      <c r="N802" s="2"/>
      <c r="P802" s="4"/>
    </row>
    <row r="803" spans="3:16" ht="15.75" customHeight="1">
      <c r="C803" s="1"/>
      <c r="D803" s="2"/>
      <c r="E803" s="3"/>
      <c r="F803" s="3"/>
      <c r="N803" s="2"/>
      <c r="P803" s="4"/>
    </row>
    <row r="804" spans="3:16" ht="15.75" customHeight="1">
      <c r="C804" s="1"/>
      <c r="D804" s="2"/>
      <c r="E804" s="3"/>
      <c r="F804" s="3"/>
      <c r="N804" s="2"/>
      <c r="P804" s="4"/>
    </row>
    <row r="805" spans="3:16" ht="15.75" customHeight="1">
      <c r="C805" s="1"/>
      <c r="D805" s="2"/>
      <c r="E805" s="3"/>
      <c r="F805" s="3"/>
      <c r="N805" s="2"/>
      <c r="P805" s="4"/>
    </row>
    <row r="806" spans="3:16" ht="15.75" customHeight="1">
      <c r="C806" s="1"/>
      <c r="D806" s="2"/>
      <c r="E806" s="3"/>
      <c r="F806" s="3"/>
      <c r="N806" s="2"/>
      <c r="P806" s="4"/>
    </row>
    <row r="807" spans="3:16" ht="15.75" customHeight="1">
      <c r="C807" s="1"/>
      <c r="D807" s="2"/>
      <c r="E807" s="3"/>
      <c r="F807" s="3"/>
      <c r="N807" s="2"/>
      <c r="P807" s="4"/>
    </row>
    <row r="808" spans="3:16" ht="15.75" customHeight="1">
      <c r="C808" s="1"/>
      <c r="D808" s="2"/>
      <c r="E808" s="3"/>
      <c r="F808" s="3"/>
      <c r="N808" s="2"/>
      <c r="P808" s="4"/>
    </row>
    <row r="809" spans="3:16" ht="15.75" customHeight="1">
      <c r="C809" s="1"/>
      <c r="D809" s="2"/>
      <c r="E809" s="3"/>
      <c r="F809" s="3"/>
      <c r="N809" s="2"/>
      <c r="P809" s="4"/>
    </row>
    <row r="810" spans="3:16" ht="15.75" customHeight="1">
      <c r="C810" s="1"/>
      <c r="D810" s="2"/>
      <c r="E810" s="3"/>
      <c r="F810" s="3"/>
      <c r="N810" s="2"/>
      <c r="P810" s="4"/>
    </row>
    <row r="811" spans="3:16" ht="15.75" customHeight="1">
      <c r="C811" s="1"/>
      <c r="D811" s="2"/>
      <c r="E811" s="3"/>
      <c r="F811" s="3"/>
      <c r="N811" s="2"/>
      <c r="P811" s="4"/>
    </row>
    <row r="812" spans="3:16" ht="15.75" customHeight="1">
      <c r="C812" s="1"/>
      <c r="D812" s="2"/>
      <c r="E812" s="3"/>
      <c r="F812" s="3"/>
      <c r="N812" s="2"/>
      <c r="P812" s="4"/>
    </row>
    <row r="813" spans="3:16" ht="15.75" customHeight="1">
      <c r="C813" s="1"/>
      <c r="D813" s="2"/>
      <c r="E813" s="3"/>
      <c r="F813" s="3"/>
      <c r="N813" s="2"/>
      <c r="P813" s="4"/>
    </row>
    <row r="814" spans="3:16" ht="15.75" customHeight="1">
      <c r="C814" s="1"/>
      <c r="D814" s="2"/>
      <c r="E814" s="3"/>
      <c r="F814" s="3"/>
      <c r="N814" s="2"/>
      <c r="P814" s="4"/>
    </row>
    <row r="815" spans="3:16" ht="15.75" customHeight="1">
      <c r="C815" s="1"/>
      <c r="D815" s="2"/>
      <c r="E815" s="3"/>
      <c r="F815" s="3"/>
      <c r="N815" s="2"/>
      <c r="P815" s="4"/>
    </row>
    <row r="816" spans="3:16" ht="15.75" customHeight="1">
      <c r="C816" s="1"/>
      <c r="D816" s="2"/>
      <c r="E816" s="3"/>
      <c r="F816" s="3"/>
      <c r="N816" s="2"/>
      <c r="P816" s="4"/>
    </row>
    <row r="817" spans="3:16" ht="15.75" customHeight="1">
      <c r="C817" s="1"/>
      <c r="D817" s="2"/>
      <c r="E817" s="3"/>
      <c r="F817" s="3"/>
      <c r="N817" s="2"/>
      <c r="P817" s="4"/>
    </row>
    <row r="818" spans="3:16" ht="15.75" customHeight="1">
      <c r="C818" s="1"/>
      <c r="D818" s="2"/>
      <c r="E818" s="3"/>
      <c r="F818" s="3"/>
      <c r="N818" s="2"/>
      <c r="P818" s="4"/>
    </row>
    <row r="819" spans="3:16" ht="15.75" customHeight="1">
      <c r="C819" s="1"/>
      <c r="D819" s="2"/>
      <c r="E819" s="3"/>
      <c r="F819" s="3"/>
      <c r="N819" s="2"/>
      <c r="P819" s="4"/>
    </row>
    <row r="820" spans="3:16" ht="15.75" customHeight="1">
      <c r="C820" s="1"/>
      <c r="D820" s="2"/>
      <c r="E820" s="3"/>
      <c r="F820" s="3"/>
      <c r="N820" s="2"/>
      <c r="P820" s="4"/>
    </row>
    <row r="821" spans="3:16" ht="15.75" customHeight="1">
      <c r="C821" s="1"/>
      <c r="D821" s="2"/>
      <c r="E821" s="3"/>
      <c r="F821" s="3"/>
      <c r="N821" s="2"/>
      <c r="P821" s="4"/>
    </row>
    <row r="822" spans="3:16" ht="15.75" customHeight="1">
      <c r="C822" s="1"/>
      <c r="D822" s="2"/>
      <c r="E822" s="3"/>
      <c r="F822" s="3"/>
      <c r="N822" s="2"/>
      <c r="P822" s="4"/>
    </row>
    <row r="823" spans="3:16" ht="15.75" customHeight="1">
      <c r="C823" s="1"/>
      <c r="D823" s="2"/>
      <c r="E823" s="3"/>
      <c r="F823" s="3"/>
      <c r="N823" s="2"/>
      <c r="P823" s="4"/>
    </row>
    <row r="824" spans="3:16" ht="15.75" customHeight="1">
      <c r="C824" s="1"/>
      <c r="D824" s="2"/>
      <c r="E824" s="3"/>
      <c r="F824" s="3"/>
      <c r="N824" s="2"/>
      <c r="P824" s="4"/>
    </row>
    <row r="825" spans="3:16" ht="15.75" customHeight="1">
      <c r="C825" s="1"/>
      <c r="D825" s="2"/>
      <c r="E825" s="3"/>
      <c r="F825" s="3"/>
      <c r="N825" s="2"/>
      <c r="P825" s="4"/>
    </row>
    <row r="826" spans="3:16" ht="15.75" customHeight="1">
      <c r="C826" s="1"/>
      <c r="D826" s="2"/>
      <c r="E826" s="3"/>
      <c r="F826" s="3"/>
      <c r="N826" s="2"/>
      <c r="P826" s="4"/>
    </row>
    <row r="827" spans="3:16" ht="15.75" customHeight="1">
      <c r="C827" s="1"/>
      <c r="D827" s="2"/>
      <c r="E827" s="3"/>
      <c r="F827" s="3"/>
      <c r="N827" s="2"/>
      <c r="P827" s="4"/>
    </row>
    <row r="828" spans="3:16" ht="15.75" customHeight="1">
      <c r="C828" s="1"/>
      <c r="D828" s="2"/>
      <c r="E828" s="3"/>
      <c r="F828" s="3"/>
      <c r="N828" s="2"/>
      <c r="P828" s="4"/>
    </row>
    <row r="829" spans="3:16" ht="15.75" customHeight="1">
      <c r="C829" s="1"/>
      <c r="D829" s="2"/>
      <c r="E829" s="3"/>
      <c r="F829" s="3"/>
      <c r="N829" s="2"/>
      <c r="P829" s="4"/>
    </row>
    <row r="830" spans="3:16" ht="15.75" customHeight="1">
      <c r="C830" s="1"/>
      <c r="D830" s="2"/>
      <c r="E830" s="3"/>
      <c r="F830" s="3"/>
      <c r="N830" s="2"/>
      <c r="P830" s="4"/>
    </row>
    <row r="831" spans="3:16" ht="15.75" customHeight="1">
      <c r="C831" s="1"/>
      <c r="D831" s="2"/>
      <c r="E831" s="3"/>
      <c r="F831" s="3"/>
      <c r="N831" s="2"/>
      <c r="P831" s="4"/>
    </row>
    <row r="832" spans="3:16" ht="15.75" customHeight="1">
      <c r="C832" s="1"/>
      <c r="D832" s="2"/>
      <c r="E832" s="3"/>
      <c r="F832" s="3"/>
      <c r="N832" s="2"/>
      <c r="P832" s="4"/>
    </row>
    <row r="833" spans="3:16" ht="15.75" customHeight="1">
      <c r="C833" s="1"/>
      <c r="D833" s="2"/>
      <c r="E833" s="3"/>
      <c r="F833" s="3"/>
      <c r="N833" s="2"/>
      <c r="P833" s="4"/>
    </row>
    <row r="834" spans="3:16" ht="15.75" customHeight="1">
      <c r="C834" s="1"/>
      <c r="D834" s="2"/>
      <c r="E834" s="3"/>
      <c r="F834" s="3"/>
      <c r="N834" s="2"/>
      <c r="P834" s="4"/>
    </row>
    <row r="835" spans="3:16" ht="15.75" customHeight="1">
      <c r="C835" s="1"/>
      <c r="D835" s="2"/>
      <c r="E835" s="3"/>
      <c r="F835" s="3"/>
      <c r="N835" s="2"/>
      <c r="P835" s="4"/>
    </row>
    <row r="836" spans="3:16" ht="15.75" customHeight="1">
      <c r="C836" s="1"/>
      <c r="D836" s="2"/>
      <c r="E836" s="3"/>
      <c r="F836" s="3"/>
      <c r="N836" s="2"/>
      <c r="P836" s="4"/>
    </row>
    <row r="837" spans="3:16" ht="15.75" customHeight="1">
      <c r="C837" s="1"/>
      <c r="D837" s="2"/>
      <c r="E837" s="3"/>
      <c r="F837" s="3"/>
      <c r="N837" s="2"/>
      <c r="P837" s="4"/>
    </row>
    <row r="838" spans="3:16" ht="15.75" customHeight="1">
      <c r="C838" s="1"/>
      <c r="D838" s="2"/>
      <c r="E838" s="3"/>
      <c r="F838" s="3"/>
      <c r="N838" s="2"/>
      <c r="P838" s="4"/>
    </row>
    <row r="839" spans="3:16" ht="15.75" customHeight="1">
      <c r="C839" s="1"/>
      <c r="D839" s="2"/>
      <c r="E839" s="3"/>
      <c r="F839" s="3"/>
      <c r="N839" s="2"/>
      <c r="P839" s="4"/>
    </row>
    <row r="840" spans="3:16" ht="15.75" customHeight="1">
      <c r="C840" s="1"/>
      <c r="D840" s="2"/>
      <c r="E840" s="3"/>
      <c r="F840" s="3"/>
      <c r="N840" s="2"/>
      <c r="P840" s="4"/>
    </row>
    <row r="841" spans="3:16" ht="15.75" customHeight="1">
      <c r="C841" s="1"/>
      <c r="D841" s="2"/>
      <c r="E841" s="3"/>
      <c r="F841" s="3"/>
      <c r="N841" s="2"/>
      <c r="P841" s="4"/>
    </row>
    <row r="842" spans="3:16" ht="15.75" customHeight="1">
      <c r="C842" s="1"/>
      <c r="D842" s="2"/>
      <c r="E842" s="3"/>
      <c r="F842" s="3"/>
      <c r="N842" s="2"/>
      <c r="P842" s="4"/>
    </row>
    <row r="843" spans="3:16" ht="15.75" customHeight="1">
      <c r="C843" s="1"/>
      <c r="D843" s="2"/>
      <c r="E843" s="3"/>
      <c r="F843" s="3"/>
      <c r="N843" s="2"/>
      <c r="P843" s="4"/>
    </row>
    <row r="844" spans="3:16" ht="15.75" customHeight="1">
      <c r="C844" s="1"/>
      <c r="D844" s="2"/>
      <c r="E844" s="3"/>
      <c r="F844" s="3"/>
      <c r="N844" s="2"/>
      <c r="P844" s="4"/>
    </row>
    <row r="845" spans="3:16" ht="15.75" customHeight="1">
      <c r="C845" s="1"/>
      <c r="D845" s="2"/>
      <c r="E845" s="3"/>
      <c r="F845" s="3"/>
      <c r="N845" s="2"/>
      <c r="P845" s="4"/>
    </row>
    <row r="846" spans="3:16" ht="15.75" customHeight="1">
      <c r="C846" s="1"/>
      <c r="D846" s="2"/>
      <c r="E846" s="3"/>
      <c r="F846" s="3"/>
      <c r="N846" s="2"/>
      <c r="P846" s="4"/>
    </row>
    <row r="847" spans="3:16" ht="15.75" customHeight="1">
      <c r="C847" s="1"/>
      <c r="D847" s="2"/>
      <c r="E847" s="3"/>
      <c r="F847" s="3"/>
      <c r="N847" s="2"/>
      <c r="P847" s="4"/>
    </row>
    <row r="848" spans="3:16" ht="15.75" customHeight="1">
      <c r="C848" s="1"/>
      <c r="D848" s="2"/>
      <c r="E848" s="3"/>
      <c r="F848" s="3"/>
      <c r="N848" s="2"/>
      <c r="P848" s="4"/>
    </row>
    <row r="849" spans="3:16" ht="15.75" customHeight="1">
      <c r="C849" s="1"/>
      <c r="D849" s="2"/>
      <c r="E849" s="3"/>
      <c r="F849" s="3"/>
      <c r="N849" s="2"/>
      <c r="P849" s="4"/>
    </row>
    <row r="850" spans="3:16" ht="15.75" customHeight="1">
      <c r="C850" s="1"/>
      <c r="D850" s="2"/>
      <c r="E850" s="3"/>
      <c r="F850" s="3"/>
      <c r="N850" s="2"/>
      <c r="P850" s="4"/>
    </row>
    <row r="851" spans="3:16" ht="15.75" customHeight="1">
      <c r="C851" s="1"/>
      <c r="D851" s="2"/>
      <c r="E851" s="3"/>
      <c r="F851" s="3"/>
      <c r="N851" s="2"/>
      <c r="P851" s="4"/>
    </row>
    <row r="852" spans="3:16" ht="15.75" customHeight="1">
      <c r="C852" s="1"/>
      <c r="D852" s="2"/>
      <c r="E852" s="3"/>
      <c r="F852" s="3"/>
      <c r="N852" s="2"/>
      <c r="P852" s="4"/>
    </row>
    <row r="853" spans="3:16" ht="15.75" customHeight="1">
      <c r="C853" s="1"/>
      <c r="D853" s="2"/>
      <c r="E853" s="3"/>
      <c r="F853" s="3"/>
      <c r="N853" s="2"/>
      <c r="P853" s="4"/>
    </row>
    <row r="854" spans="3:16" ht="15.75" customHeight="1">
      <c r="C854" s="1"/>
      <c r="D854" s="2"/>
      <c r="E854" s="3"/>
      <c r="F854" s="3"/>
      <c r="N854" s="2"/>
      <c r="P854" s="4"/>
    </row>
    <row r="855" spans="3:16" ht="15.75" customHeight="1">
      <c r="C855" s="1"/>
      <c r="D855" s="2"/>
      <c r="E855" s="3"/>
      <c r="F855" s="3"/>
      <c r="N855" s="2"/>
      <c r="P855" s="4"/>
    </row>
    <row r="856" spans="3:16" ht="15.75" customHeight="1">
      <c r="C856" s="1"/>
      <c r="D856" s="2"/>
      <c r="E856" s="3"/>
      <c r="F856" s="3"/>
      <c r="N856" s="2"/>
      <c r="P856" s="4"/>
    </row>
    <row r="857" spans="3:16" ht="15.75" customHeight="1">
      <c r="C857" s="1"/>
      <c r="D857" s="2"/>
      <c r="E857" s="3"/>
      <c r="F857" s="3"/>
      <c r="N857" s="2"/>
      <c r="P857" s="4"/>
    </row>
    <row r="858" spans="3:16" ht="15.75" customHeight="1">
      <c r="C858" s="1"/>
      <c r="D858" s="2"/>
      <c r="E858" s="3"/>
      <c r="F858" s="3"/>
      <c r="N858" s="2"/>
      <c r="P858" s="4"/>
    </row>
    <row r="859" spans="3:16" ht="15.75" customHeight="1">
      <c r="C859" s="1"/>
      <c r="D859" s="2"/>
      <c r="E859" s="3"/>
      <c r="F859" s="3"/>
      <c r="N859" s="2"/>
      <c r="P859" s="4"/>
    </row>
    <row r="860" spans="3:16" ht="15.75" customHeight="1">
      <c r="C860" s="1"/>
      <c r="D860" s="2"/>
      <c r="E860" s="3"/>
      <c r="F860" s="3"/>
      <c r="N860" s="2"/>
      <c r="P860" s="4"/>
    </row>
    <row r="861" spans="3:16" ht="15.75" customHeight="1">
      <c r="C861" s="1"/>
      <c r="D861" s="2"/>
      <c r="E861" s="3"/>
      <c r="F861" s="3"/>
      <c r="N861" s="2"/>
      <c r="P861" s="4"/>
    </row>
    <row r="862" spans="3:16" ht="15.75" customHeight="1">
      <c r="C862" s="1"/>
      <c r="D862" s="2"/>
      <c r="E862" s="3"/>
      <c r="F862" s="3"/>
      <c r="N862" s="2"/>
      <c r="P862" s="4"/>
    </row>
    <row r="863" spans="3:16" ht="15.75" customHeight="1">
      <c r="C863" s="1"/>
      <c r="D863" s="2"/>
      <c r="E863" s="3"/>
      <c r="F863" s="3"/>
      <c r="N863" s="2"/>
      <c r="P863" s="4"/>
    </row>
    <row r="864" spans="3:16" ht="15.75" customHeight="1">
      <c r="C864" s="1"/>
      <c r="D864" s="2"/>
      <c r="E864" s="3"/>
      <c r="F864" s="3"/>
      <c r="N864" s="2"/>
      <c r="P864" s="4"/>
    </row>
    <row r="865" spans="3:16" ht="15.75" customHeight="1">
      <c r="C865" s="1"/>
      <c r="D865" s="2"/>
      <c r="E865" s="3"/>
      <c r="F865" s="3"/>
      <c r="N865" s="2"/>
      <c r="P865" s="4"/>
    </row>
    <row r="866" spans="3:16" ht="15.75" customHeight="1">
      <c r="C866" s="1"/>
      <c r="D866" s="2"/>
      <c r="E866" s="3"/>
      <c r="F866" s="3"/>
      <c r="N866" s="2"/>
      <c r="P866" s="4"/>
    </row>
    <row r="867" spans="3:16" ht="15.75" customHeight="1">
      <c r="C867" s="1"/>
      <c r="D867" s="2"/>
      <c r="E867" s="3"/>
      <c r="F867" s="3"/>
      <c r="N867" s="2"/>
      <c r="P867" s="4"/>
    </row>
    <row r="868" spans="3:16" ht="15.75" customHeight="1">
      <c r="C868" s="1"/>
      <c r="D868" s="2"/>
      <c r="E868" s="3"/>
      <c r="F868" s="3"/>
      <c r="N868" s="2"/>
      <c r="P868" s="4"/>
    </row>
    <row r="869" spans="3:16" ht="15.75" customHeight="1">
      <c r="C869" s="1"/>
      <c r="D869" s="2"/>
      <c r="E869" s="3"/>
      <c r="F869" s="3"/>
      <c r="N869" s="2"/>
      <c r="P869" s="4"/>
    </row>
    <row r="870" spans="3:16" ht="15.75" customHeight="1">
      <c r="C870" s="1"/>
      <c r="D870" s="2"/>
      <c r="E870" s="3"/>
      <c r="F870" s="3"/>
      <c r="N870" s="2"/>
      <c r="P870" s="4"/>
    </row>
    <row r="871" spans="3:16" ht="15.75" customHeight="1">
      <c r="C871" s="1"/>
      <c r="D871" s="2"/>
      <c r="E871" s="3"/>
      <c r="F871" s="3"/>
      <c r="N871" s="2"/>
      <c r="P871" s="4"/>
    </row>
    <row r="872" spans="3:16" ht="15.75" customHeight="1">
      <c r="C872" s="1"/>
      <c r="D872" s="2"/>
      <c r="E872" s="3"/>
      <c r="F872" s="3"/>
      <c r="N872" s="2"/>
      <c r="P872" s="4"/>
    </row>
    <row r="873" spans="3:16" ht="15.75" customHeight="1">
      <c r="C873" s="1"/>
      <c r="D873" s="2"/>
      <c r="E873" s="3"/>
      <c r="F873" s="3"/>
      <c r="N873" s="2"/>
      <c r="P873" s="4"/>
    </row>
    <row r="874" spans="3:16" ht="15.75" customHeight="1">
      <c r="C874" s="1"/>
      <c r="D874" s="2"/>
      <c r="E874" s="3"/>
      <c r="F874" s="3"/>
      <c r="N874" s="2"/>
      <c r="P874" s="4"/>
    </row>
    <row r="875" spans="3:16" ht="15.75" customHeight="1">
      <c r="C875" s="1"/>
      <c r="D875" s="2"/>
      <c r="E875" s="3"/>
      <c r="F875" s="3"/>
      <c r="N875" s="2"/>
      <c r="P875" s="4"/>
    </row>
    <row r="876" spans="3:16" ht="15.75" customHeight="1">
      <c r="C876" s="1"/>
      <c r="D876" s="2"/>
      <c r="E876" s="3"/>
      <c r="F876" s="3"/>
      <c r="N876" s="2"/>
      <c r="P876" s="4"/>
    </row>
    <row r="877" spans="3:16" ht="15.75" customHeight="1">
      <c r="C877" s="1"/>
      <c r="D877" s="2"/>
      <c r="E877" s="3"/>
      <c r="F877" s="3"/>
      <c r="N877" s="2"/>
      <c r="P877" s="4"/>
    </row>
    <row r="878" spans="3:16" ht="15.75" customHeight="1">
      <c r="C878" s="1"/>
      <c r="D878" s="2"/>
      <c r="E878" s="3"/>
      <c r="F878" s="3"/>
      <c r="N878" s="2"/>
      <c r="P878" s="4"/>
    </row>
    <row r="879" spans="3:16" ht="15.75" customHeight="1">
      <c r="C879" s="1"/>
      <c r="D879" s="2"/>
      <c r="E879" s="3"/>
      <c r="F879" s="3"/>
      <c r="N879" s="2"/>
      <c r="P879" s="4"/>
    </row>
    <row r="880" spans="3:16" ht="15.75" customHeight="1">
      <c r="C880" s="1"/>
      <c r="D880" s="2"/>
      <c r="E880" s="3"/>
      <c r="F880" s="3"/>
      <c r="N880" s="2"/>
      <c r="P880" s="4"/>
    </row>
    <row r="881" spans="3:16" ht="15.75" customHeight="1">
      <c r="C881" s="1"/>
      <c r="D881" s="2"/>
      <c r="E881" s="3"/>
      <c r="F881" s="3"/>
      <c r="N881" s="2"/>
      <c r="P881" s="4"/>
    </row>
    <row r="882" spans="3:16" ht="15.75" customHeight="1">
      <c r="C882" s="1"/>
      <c r="D882" s="2"/>
      <c r="E882" s="3"/>
      <c r="F882" s="3"/>
      <c r="N882" s="2"/>
      <c r="P882" s="4"/>
    </row>
    <row r="883" spans="3:16" ht="15.75" customHeight="1">
      <c r="C883" s="1"/>
      <c r="D883" s="2"/>
      <c r="E883" s="3"/>
      <c r="F883" s="3"/>
      <c r="N883" s="2"/>
      <c r="P883" s="4"/>
    </row>
    <row r="884" spans="3:16" ht="15.75" customHeight="1">
      <c r="C884" s="1"/>
      <c r="D884" s="2"/>
      <c r="E884" s="3"/>
      <c r="F884" s="3"/>
      <c r="N884" s="2"/>
      <c r="P884" s="4"/>
    </row>
    <row r="885" spans="3:16" ht="15.75" customHeight="1">
      <c r="C885" s="1"/>
      <c r="D885" s="2"/>
      <c r="E885" s="3"/>
      <c r="F885" s="3"/>
      <c r="N885" s="2"/>
      <c r="P885" s="4"/>
    </row>
    <row r="886" spans="3:16" ht="15.75" customHeight="1">
      <c r="C886" s="1"/>
      <c r="D886" s="2"/>
      <c r="E886" s="3"/>
      <c r="F886" s="3"/>
      <c r="N886" s="2"/>
      <c r="P886" s="4"/>
    </row>
    <row r="887" spans="3:16" ht="15.75" customHeight="1">
      <c r="C887" s="1"/>
      <c r="D887" s="2"/>
      <c r="E887" s="3"/>
      <c r="F887" s="3"/>
      <c r="N887" s="2"/>
      <c r="P887" s="4"/>
    </row>
    <row r="888" spans="3:16" ht="15.75" customHeight="1">
      <c r="C888" s="1"/>
      <c r="D888" s="2"/>
      <c r="E888" s="3"/>
      <c r="F888" s="3"/>
      <c r="N888" s="2"/>
      <c r="P888" s="4"/>
    </row>
    <row r="889" spans="3:16" ht="15.75" customHeight="1">
      <c r="C889" s="1"/>
      <c r="D889" s="2"/>
      <c r="E889" s="3"/>
      <c r="F889" s="3"/>
      <c r="N889" s="2"/>
      <c r="P889" s="4"/>
    </row>
    <row r="890" spans="3:16" ht="15.75" customHeight="1">
      <c r="C890" s="1"/>
      <c r="D890" s="2"/>
      <c r="E890" s="3"/>
      <c r="F890" s="3"/>
      <c r="N890" s="2"/>
      <c r="P890" s="4"/>
    </row>
    <row r="891" spans="3:16" ht="15.75" customHeight="1">
      <c r="C891" s="1"/>
      <c r="D891" s="2"/>
      <c r="E891" s="3"/>
      <c r="F891" s="3"/>
      <c r="N891" s="2"/>
      <c r="P891" s="4"/>
    </row>
    <row r="892" spans="3:16" ht="15.75" customHeight="1">
      <c r="C892" s="1"/>
      <c r="D892" s="2"/>
      <c r="E892" s="3"/>
      <c r="F892" s="3"/>
      <c r="N892" s="2"/>
      <c r="P892" s="4"/>
    </row>
    <row r="893" spans="3:16" ht="15.75" customHeight="1">
      <c r="C893" s="1"/>
      <c r="D893" s="2"/>
      <c r="E893" s="3"/>
      <c r="F893" s="3"/>
      <c r="N893" s="2"/>
      <c r="P893" s="4"/>
    </row>
    <row r="894" spans="3:16" ht="15.75" customHeight="1">
      <c r="C894" s="1"/>
      <c r="D894" s="2"/>
      <c r="E894" s="3"/>
      <c r="F894" s="3"/>
      <c r="N894" s="2"/>
      <c r="P894" s="4"/>
    </row>
    <row r="895" spans="3:16" ht="15.75" customHeight="1">
      <c r="C895" s="1"/>
      <c r="D895" s="2"/>
      <c r="E895" s="3"/>
      <c r="F895" s="3"/>
      <c r="N895" s="2"/>
      <c r="P895" s="4"/>
    </row>
    <row r="896" spans="3:16" ht="15.75" customHeight="1">
      <c r="C896" s="1"/>
      <c r="D896" s="2"/>
      <c r="E896" s="3"/>
      <c r="F896" s="3"/>
      <c r="N896" s="2"/>
      <c r="P896" s="4"/>
    </row>
    <row r="897" spans="3:16" ht="15.75" customHeight="1">
      <c r="C897" s="1"/>
      <c r="D897" s="2"/>
      <c r="E897" s="3"/>
      <c r="F897" s="3"/>
      <c r="N897" s="2"/>
      <c r="P897" s="4"/>
    </row>
    <row r="898" spans="3:16" ht="15.75" customHeight="1">
      <c r="C898" s="1"/>
      <c r="D898" s="2"/>
      <c r="E898" s="3"/>
      <c r="F898" s="3"/>
      <c r="N898" s="2"/>
      <c r="P898" s="4"/>
    </row>
    <row r="899" spans="3:16" ht="15.75" customHeight="1">
      <c r="C899" s="1"/>
      <c r="D899" s="2"/>
      <c r="E899" s="3"/>
      <c r="F899" s="3"/>
      <c r="N899" s="2"/>
      <c r="P899" s="4"/>
    </row>
    <row r="900" spans="3:16" ht="15.75" customHeight="1">
      <c r="C900" s="1"/>
      <c r="D900" s="2"/>
      <c r="E900" s="3"/>
      <c r="F900" s="3"/>
      <c r="N900" s="2"/>
      <c r="P900" s="4"/>
    </row>
    <row r="901" spans="3:16" ht="15.75" customHeight="1">
      <c r="C901" s="1"/>
      <c r="D901" s="2"/>
      <c r="E901" s="3"/>
      <c r="F901" s="3"/>
      <c r="N901" s="2"/>
      <c r="P901" s="4"/>
    </row>
    <row r="902" spans="3:16" ht="15.75" customHeight="1">
      <c r="C902" s="1"/>
      <c r="D902" s="2"/>
      <c r="E902" s="3"/>
      <c r="F902" s="3"/>
      <c r="N902" s="2"/>
      <c r="P902" s="4"/>
    </row>
    <row r="903" spans="3:16" ht="15.75" customHeight="1">
      <c r="C903" s="1"/>
      <c r="D903" s="2"/>
      <c r="E903" s="3"/>
      <c r="F903" s="3"/>
      <c r="N903" s="2"/>
      <c r="P903" s="4"/>
    </row>
    <row r="904" spans="3:16" ht="15.75" customHeight="1">
      <c r="C904" s="1"/>
      <c r="D904" s="2"/>
      <c r="E904" s="3"/>
      <c r="F904" s="3"/>
      <c r="N904" s="2"/>
      <c r="P904" s="4"/>
    </row>
    <row r="905" spans="3:16" ht="15.75" customHeight="1">
      <c r="C905" s="1"/>
      <c r="D905" s="2"/>
      <c r="E905" s="3"/>
      <c r="F905" s="3"/>
      <c r="N905" s="2"/>
      <c r="P905" s="4"/>
    </row>
    <row r="906" spans="3:16" ht="15.75" customHeight="1">
      <c r="C906" s="1"/>
      <c r="D906" s="2"/>
      <c r="E906" s="3"/>
      <c r="F906" s="3"/>
      <c r="N906" s="2"/>
      <c r="P906" s="4"/>
    </row>
    <row r="907" spans="3:16" ht="15.75" customHeight="1">
      <c r="C907" s="1"/>
      <c r="D907" s="2"/>
      <c r="E907" s="3"/>
      <c r="F907" s="3"/>
      <c r="N907" s="2"/>
      <c r="P907" s="4"/>
    </row>
    <row r="908" spans="3:16" ht="15.75" customHeight="1">
      <c r="C908" s="1"/>
      <c r="D908" s="2"/>
      <c r="E908" s="3"/>
      <c r="F908" s="3"/>
      <c r="N908" s="2"/>
      <c r="P908" s="4"/>
    </row>
    <row r="909" spans="3:16" ht="15.75" customHeight="1">
      <c r="C909" s="1"/>
      <c r="D909" s="2"/>
      <c r="E909" s="3"/>
      <c r="F909" s="3"/>
      <c r="N909" s="2"/>
      <c r="P909" s="4"/>
    </row>
    <row r="910" spans="3:16" ht="15.75" customHeight="1">
      <c r="C910" s="1"/>
      <c r="D910" s="2"/>
      <c r="E910" s="3"/>
      <c r="F910" s="3"/>
      <c r="N910" s="2"/>
      <c r="P910" s="4"/>
    </row>
    <row r="911" spans="3:16" ht="15.75" customHeight="1">
      <c r="C911" s="1"/>
      <c r="D911" s="2"/>
      <c r="E911" s="3"/>
      <c r="F911" s="3"/>
      <c r="N911" s="2"/>
      <c r="P911" s="4"/>
    </row>
    <row r="912" spans="3:16" ht="15.75" customHeight="1">
      <c r="C912" s="1"/>
      <c r="D912" s="2"/>
      <c r="E912" s="3"/>
      <c r="F912" s="3"/>
      <c r="N912" s="2"/>
      <c r="P912" s="4"/>
    </row>
    <row r="913" spans="3:16" ht="15.75" customHeight="1">
      <c r="C913" s="1"/>
      <c r="D913" s="2"/>
      <c r="E913" s="3"/>
      <c r="F913" s="3"/>
      <c r="N913" s="2"/>
      <c r="P913" s="4"/>
    </row>
    <row r="914" spans="3:16" ht="15.75" customHeight="1">
      <c r="C914" s="1"/>
      <c r="D914" s="2"/>
      <c r="E914" s="3"/>
      <c r="F914" s="3"/>
      <c r="N914" s="2"/>
      <c r="P914" s="4"/>
    </row>
    <row r="915" spans="3:16" ht="15.75" customHeight="1">
      <c r="C915" s="1"/>
      <c r="D915" s="2"/>
      <c r="E915" s="3"/>
      <c r="F915" s="3"/>
      <c r="N915" s="2"/>
      <c r="P915" s="4"/>
    </row>
    <row r="916" spans="3:16" ht="15.75" customHeight="1">
      <c r="C916" s="1"/>
      <c r="D916" s="2"/>
      <c r="E916" s="3"/>
      <c r="F916" s="3"/>
      <c r="N916" s="2"/>
      <c r="P916" s="4"/>
    </row>
    <row r="917" spans="3:16" ht="15.75" customHeight="1">
      <c r="C917" s="1"/>
      <c r="D917" s="2"/>
      <c r="E917" s="3"/>
      <c r="F917" s="3"/>
      <c r="N917" s="2"/>
      <c r="P917" s="4"/>
    </row>
    <row r="918" spans="3:16" ht="15.75" customHeight="1">
      <c r="C918" s="1"/>
      <c r="D918" s="2"/>
      <c r="E918" s="3"/>
      <c r="F918" s="3"/>
      <c r="N918" s="2"/>
      <c r="P918" s="4"/>
    </row>
    <row r="919" spans="3:16" ht="15.75" customHeight="1">
      <c r="C919" s="1"/>
      <c r="D919" s="2"/>
      <c r="E919" s="3"/>
      <c r="F919" s="3"/>
      <c r="N919" s="2"/>
      <c r="P919" s="4"/>
    </row>
    <row r="920" spans="3:16" ht="15.75" customHeight="1">
      <c r="C920" s="1"/>
      <c r="D920" s="2"/>
      <c r="E920" s="3"/>
      <c r="F920" s="3"/>
      <c r="N920" s="2"/>
      <c r="P920" s="4"/>
    </row>
    <row r="921" spans="3:16" ht="15.75" customHeight="1">
      <c r="C921" s="1"/>
      <c r="D921" s="2"/>
      <c r="E921" s="3"/>
      <c r="F921" s="3"/>
      <c r="N921" s="2"/>
      <c r="P921" s="4"/>
    </row>
    <row r="922" spans="3:16" ht="15.75" customHeight="1">
      <c r="C922" s="1"/>
      <c r="D922" s="2"/>
      <c r="E922" s="3"/>
      <c r="F922" s="3"/>
      <c r="N922" s="2"/>
      <c r="P922" s="4"/>
    </row>
    <row r="923" spans="3:16" ht="15.75" customHeight="1">
      <c r="C923" s="1"/>
      <c r="D923" s="2"/>
      <c r="E923" s="3"/>
      <c r="F923" s="3"/>
      <c r="N923" s="2"/>
      <c r="P923" s="4"/>
    </row>
    <row r="924" spans="3:16" ht="15.75" customHeight="1">
      <c r="C924" s="1"/>
      <c r="D924" s="2"/>
      <c r="E924" s="3"/>
      <c r="F924" s="3"/>
      <c r="N924" s="2"/>
      <c r="P924" s="4"/>
    </row>
    <row r="925" spans="3:16" ht="15.75" customHeight="1">
      <c r="C925" s="1"/>
      <c r="D925" s="2"/>
      <c r="E925" s="3"/>
      <c r="F925" s="3"/>
      <c r="N925" s="2"/>
      <c r="P925" s="4"/>
    </row>
    <row r="926" spans="3:16" ht="15.75" customHeight="1">
      <c r="C926" s="1"/>
      <c r="D926" s="2"/>
      <c r="E926" s="3"/>
      <c r="F926" s="3"/>
      <c r="N926" s="2"/>
      <c r="P926" s="4"/>
    </row>
    <row r="927" spans="3:16" ht="15.75" customHeight="1">
      <c r="C927" s="1"/>
      <c r="D927" s="2"/>
      <c r="E927" s="3"/>
      <c r="F927" s="3"/>
      <c r="N927" s="2"/>
      <c r="P927" s="4"/>
    </row>
    <row r="928" spans="3:16" ht="15.75" customHeight="1">
      <c r="C928" s="1"/>
      <c r="D928" s="2"/>
      <c r="E928" s="3"/>
      <c r="F928" s="3"/>
      <c r="N928" s="2"/>
      <c r="P928" s="4"/>
    </row>
    <row r="929" spans="3:16" ht="15.75" customHeight="1">
      <c r="C929" s="1"/>
      <c r="D929" s="2"/>
      <c r="E929" s="3"/>
      <c r="F929" s="3"/>
      <c r="N929" s="2"/>
      <c r="P929" s="4"/>
    </row>
    <row r="930" spans="3:16" ht="15.75" customHeight="1">
      <c r="C930" s="1"/>
      <c r="D930" s="2"/>
      <c r="E930" s="3"/>
      <c r="F930" s="3"/>
      <c r="N930" s="2"/>
      <c r="P930" s="4"/>
    </row>
    <row r="931" spans="3:16" ht="15.75" customHeight="1">
      <c r="C931" s="1"/>
      <c r="D931" s="2"/>
      <c r="E931" s="3"/>
      <c r="F931" s="3"/>
      <c r="N931" s="2"/>
      <c r="P931" s="4"/>
    </row>
    <row r="932" spans="3:16" ht="15.75" customHeight="1">
      <c r="C932" s="1"/>
      <c r="D932" s="2"/>
      <c r="E932" s="3"/>
      <c r="F932" s="3"/>
      <c r="N932" s="2"/>
      <c r="P932" s="4"/>
    </row>
    <row r="933" spans="3:16" ht="15.75" customHeight="1">
      <c r="C933" s="1"/>
      <c r="D933" s="2"/>
      <c r="E933" s="3"/>
      <c r="F933" s="3"/>
      <c r="N933" s="2"/>
      <c r="P933" s="4"/>
    </row>
    <row r="934" spans="3:16" ht="15.75" customHeight="1">
      <c r="C934" s="1"/>
      <c r="D934" s="2"/>
      <c r="E934" s="3"/>
      <c r="F934" s="3"/>
      <c r="N934" s="2"/>
      <c r="P934" s="4"/>
    </row>
    <row r="935" spans="3:16" ht="15.75" customHeight="1">
      <c r="C935" s="1"/>
      <c r="D935" s="2"/>
      <c r="E935" s="3"/>
      <c r="F935" s="3"/>
      <c r="N935" s="2"/>
      <c r="P935" s="4"/>
    </row>
    <row r="936" spans="3:16" ht="15.75" customHeight="1">
      <c r="C936" s="1"/>
      <c r="D936" s="2"/>
      <c r="E936" s="3"/>
      <c r="F936" s="3"/>
      <c r="N936" s="2"/>
      <c r="P936" s="4"/>
    </row>
    <row r="937" spans="3:16" ht="15.75" customHeight="1">
      <c r="C937" s="1"/>
      <c r="D937" s="2"/>
      <c r="E937" s="3"/>
      <c r="F937" s="3"/>
      <c r="N937" s="2"/>
      <c r="P937" s="4"/>
    </row>
    <row r="938" spans="3:16" ht="15.75" customHeight="1">
      <c r="C938" s="1"/>
      <c r="D938" s="2"/>
      <c r="E938" s="3"/>
      <c r="F938" s="3"/>
      <c r="N938" s="2"/>
      <c r="P938" s="4"/>
    </row>
    <row r="939" spans="3:16" ht="15.75" customHeight="1">
      <c r="C939" s="1"/>
      <c r="D939" s="2"/>
      <c r="E939" s="3"/>
      <c r="F939" s="3"/>
      <c r="N939" s="2"/>
      <c r="P939" s="4"/>
    </row>
    <row r="940" spans="3:16" ht="15.75" customHeight="1">
      <c r="C940" s="1"/>
      <c r="D940" s="2"/>
      <c r="E940" s="3"/>
      <c r="F940" s="3"/>
      <c r="N940" s="2"/>
      <c r="P940" s="4"/>
    </row>
    <row r="941" spans="3:16" ht="15.75" customHeight="1">
      <c r="C941" s="1"/>
      <c r="D941" s="2"/>
      <c r="E941" s="3"/>
      <c r="F941" s="3"/>
      <c r="N941" s="2"/>
      <c r="P941" s="4"/>
    </row>
    <row r="942" spans="3:16" ht="15.75" customHeight="1">
      <c r="C942" s="1"/>
      <c r="D942" s="2"/>
      <c r="E942" s="3"/>
      <c r="F942" s="3"/>
      <c r="N942" s="2"/>
      <c r="P942" s="4"/>
    </row>
    <row r="943" spans="3:16" ht="15.75" customHeight="1">
      <c r="C943" s="1"/>
      <c r="D943" s="2"/>
      <c r="E943" s="3"/>
      <c r="F943" s="3"/>
      <c r="N943" s="2"/>
      <c r="P943" s="4"/>
    </row>
    <row r="944" spans="3:16" ht="15.75" customHeight="1">
      <c r="C944" s="1"/>
      <c r="D944" s="2"/>
      <c r="E944" s="3"/>
      <c r="F944" s="3"/>
      <c r="N944" s="2"/>
      <c r="P944" s="4"/>
    </row>
    <row r="945" spans="3:16" ht="15.75" customHeight="1">
      <c r="C945" s="1"/>
      <c r="D945" s="2"/>
      <c r="E945" s="3"/>
      <c r="F945" s="3"/>
      <c r="N945" s="2"/>
      <c r="P945" s="4"/>
    </row>
    <row r="946" spans="3:16" ht="15.75" customHeight="1">
      <c r="C946" s="1"/>
      <c r="D946" s="2"/>
      <c r="E946" s="3"/>
      <c r="F946" s="3"/>
      <c r="N946" s="2"/>
      <c r="P946" s="4"/>
    </row>
    <row r="947" spans="3:16" ht="15.75" customHeight="1">
      <c r="C947" s="1"/>
      <c r="D947" s="2"/>
      <c r="E947" s="3"/>
      <c r="F947" s="3"/>
      <c r="N947" s="2"/>
      <c r="P947" s="4"/>
    </row>
    <row r="948" spans="3:16" ht="15.75" customHeight="1">
      <c r="C948" s="1"/>
      <c r="D948" s="2"/>
      <c r="E948" s="3"/>
      <c r="F948" s="3"/>
      <c r="N948" s="2"/>
      <c r="P948" s="4"/>
    </row>
    <row r="949" spans="3:16" ht="15.75" customHeight="1">
      <c r="C949" s="1"/>
      <c r="D949" s="2"/>
      <c r="E949" s="3"/>
      <c r="F949" s="3"/>
      <c r="N949" s="2"/>
      <c r="P949" s="4"/>
    </row>
    <row r="950" spans="3:16" ht="15.75" customHeight="1">
      <c r="C950" s="1"/>
      <c r="D950" s="2"/>
      <c r="E950" s="3"/>
      <c r="F950" s="3"/>
      <c r="N950" s="2"/>
      <c r="P950" s="4"/>
    </row>
    <row r="951" spans="3:16" ht="15.75" customHeight="1">
      <c r="C951" s="1"/>
      <c r="D951" s="2"/>
      <c r="E951" s="3"/>
      <c r="F951" s="3"/>
      <c r="N951" s="2"/>
      <c r="P951" s="4"/>
    </row>
    <row r="952" spans="3:16" ht="15.75" customHeight="1">
      <c r="C952" s="1"/>
      <c r="D952" s="2"/>
      <c r="E952" s="3"/>
      <c r="F952" s="3"/>
      <c r="N952" s="2"/>
      <c r="P952" s="4"/>
    </row>
    <row r="953" spans="3:16" ht="15.75" customHeight="1">
      <c r="C953" s="1"/>
      <c r="D953" s="2"/>
      <c r="E953" s="3"/>
      <c r="F953" s="3"/>
      <c r="N953" s="2"/>
      <c r="P953" s="4"/>
    </row>
    <row r="954" spans="3:16" ht="15.75" customHeight="1">
      <c r="C954" s="1"/>
      <c r="D954" s="2"/>
      <c r="E954" s="3"/>
      <c r="F954" s="3"/>
      <c r="N954" s="2"/>
      <c r="P954" s="4"/>
    </row>
    <row r="955" spans="3:16" ht="15.75" customHeight="1">
      <c r="C955" s="1"/>
      <c r="D955" s="2"/>
      <c r="E955" s="3"/>
      <c r="F955" s="3"/>
      <c r="N955" s="2"/>
      <c r="P955" s="4"/>
    </row>
    <row r="956" spans="3:16" ht="15.75" customHeight="1">
      <c r="C956" s="1"/>
      <c r="D956" s="2"/>
      <c r="E956" s="3"/>
      <c r="F956" s="3"/>
      <c r="N956" s="2"/>
      <c r="P956" s="4"/>
    </row>
    <row r="957" spans="3:16" ht="15.75" customHeight="1">
      <c r="C957" s="1"/>
      <c r="D957" s="2"/>
      <c r="E957" s="3"/>
      <c r="F957" s="3"/>
      <c r="N957" s="2"/>
      <c r="P957" s="4"/>
    </row>
    <row r="958" spans="3:16" ht="15.75" customHeight="1">
      <c r="C958" s="1"/>
      <c r="D958" s="2"/>
      <c r="E958" s="3"/>
      <c r="F958" s="3"/>
      <c r="N958" s="2"/>
      <c r="P958" s="4"/>
    </row>
    <row r="959" spans="3:16" ht="15.75" customHeight="1">
      <c r="C959" s="1"/>
      <c r="D959" s="2"/>
      <c r="E959" s="3"/>
      <c r="F959" s="3"/>
      <c r="N959" s="2"/>
      <c r="P959" s="4"/>
    </row>
    <row r="960" spans="3:16" ht="15.75" customHeight="1">
      <c r="C960" s="1"/>
      <c r="D960" s="2"/>
      <c r="E960" s="3"/>
      <c r="F960" s="3"/>
      <c r="N960" s="2"/>
      <c r="P960" s="4"/>
    </row>
    <row r="961" spans="3:16" ht="15.75" customHeight="1">
      <c r="C961" s="1"/>
      <c r="D961" s="2"/>
      <c r="E961" s="3"/>
      <c r="F961" s="3"/>
      <c r="N961" s="2"/>
      <c r="P961" s="4"/>
    </row>
    <row r="962" spans="3:16" ht="15.75" customHeight="1">
      <c r="C962" s="1"/>
      <c r="D962" s="2"/>
      <c r="E962" s="3"/>
      <c r="F962" s="3"/>
      <c r="N962" s="2"/>
      <c r="P962" s="4"/>
    </row>
    <row r="963" spans="3:16" ht="15.75" customHeight="1">
      <c r="C963" s="1"/>
      <c r="D963" s="2"/>
      <c r="E963" s="3"/>
      <c r="F963" s="3"/>
      <c r="N963" s="2"/>
      <c r="P963" s="4"/>
    </row>
    <row r="964" spans="3:16" ht="15.75" customHeight="1">
      <c r="C964" s="1"/>
      <c r="D964" s="2"/>
      <c r="E964" s="3"/>
      <c r="F964" s="3"/>
      <c r="N964" s="2"/>
      <c r="P964" s="4"/>
    </row>
    <row r="965" spans="3:16" ht="15.75" customHeight="1">
      <c r="C965" s="1"/>
      <c r="D965" s="2"/>
      <c r="E965" s="3"/>
      <c r="F965" s="3"/>
      <c r="N965" s="2"/>
      <c r="P965" s="4"/>
    </row>
    <row r="966" spans="3:16" ht="15.75" customHeight="1">
      <c r="C966" s="1"/>
      <c r="D966" s="2"/>
      <c r="E966" s="3"/>
      <c r="F966" s="3"/>
      <c r="N966" s="2"/>
      <c r="P966" s="4"/>
    </row>
    <row r="967" spans="3:16" ht="15.75" customHeight="1">
      <c r="C967" s="1"/>
      <c r="D967" s="2"/>
      <c r="E967" s="3"/>
      <c r="F967" s="3"/>
      <c r="N967" s="2"/>
      <c r="P967" s="4"/>
    </row>
    <row r="968" spans="3:16" ht="15.75" customHeight="1">
      <c r="C968" s="1"/>
      <c r="D968" s="2"/>
      <c r="E968" s="3"/>
      <c r="F968" s="3"/>
      <c r="N968" s="2"/>
      <c r="P968" s="4"/>
    </row>
    <row r="969" spans="3:16" ht="15.75" customHeight="1">
      <c r="C969" s="1"/>
      <c r="D969" s="2"/>
      <c r="E969" s="3"/>
      <c r="F969" s="3"/>
      <c r="N969" s="2"/>
      <c r="P969" s="4"/>
    </row>
    <row r="970" spans="3:16" ht="15.75" customHeight="1">
      <c r="C970" s="1"/>
      <c r="D970" s="2"/>
      <c r="E970" s="3"/>
      <c r="F970" s="3"/>
      <c r="N970" s="2"/>
      <c r="P970" s="4"/>
    </row>
    <row r="971" spans="3:16" ht="15.75" customHeight="1">
      <c r="C971" s="1"/>
      <c r="D971" s="2"/>
      <c r="E971" s="3"/>
      <c r="F971" s="3"/>
      <c r="N971" s="2"/>
      <c r="P971" s="4"/>
    </row>
    <row r="972" spans="3:16" ht="15.75" customHeight="1">
      <c r="C972" s="1"/>
      <c r="D972" s="2"/>
      <c r="E972" s="3"/>
      <c r="F972" s="3"/>
      <c r="N972" s="2"/>
      <c r="P972" s="4"/>
    </row>
    <row r="973" spans="3:16" ht="15.75" customHeight="1">
      <c r="C973" s="1"/>
      <c r="D973" s="2"/>
      <c r="E973" s="3"/>
      <c r="F973" s="3"/>
      <c r="N973" s="2"/>
      <c r="P973" s="4"/>
    </row>
    <row r="974" spans="3:16" ht="15.75" customHeight="1">
      <c r="C974" s="1"/>
      <c r="D974" s="2"/>
      <c r="E974" s="3"/>
      <c r="F974" s="3"/>
      <c r="N974" s="2"/>
      <c r="P974" s="4"/>
    </row>
    <row r="975" spans="3:16" ht="15.75" customHeight="1">
      <c r="C975" s="1"/>
      <c r="D975" s="2"/>
      <c r="E975" s="3"/>
      <c r="F975" s="3"/>
      <c r="N975" s="2"/>
      <c r="P975" s="4"/>
    </row>
    <row r="976" spans="3:16" ht="15.75" customHeight="1">
      <c r="C976" s="1"/>
      <c r="D976" s="2"/>
      <c r="E976" s="3"/>
      <c r="F976" s="3"/>
      <c r="N976" s="2"/>
      <c r="P976" s="4"/>
    </row>
    <row r="977" spans="3:16" ht="15.75" customHeight="1">
      <c r="C977" s="1"/>
      <c r="D977" s="2"/>
      <c r="E977" s="3"/>
      <c r="F977" s="3"/>
      <c r="N977" s="2"/>
      <c r="P977" s="4"/>
    </row>
    <row r="978" spans="3:16" ht="15.75" customHeight="1">
      <c r="C978" s="1"/>
      <c r="D978" s="2"/>
      <c r="E978" s="3"/>
      <c r="F978" s="3"/>
      <c r="N978" s="2"/>
      <c r="P978" s="4"/>
    </row>
    <row r="979" spans="3:16" ht="15.75" customHeight="1">
      <c r="C979" s="1"/>
      <c r="D979" s="2"/>
      <c r="E979" s="3"/>
      <c r="F979" s="3"/>
      <c r="N979" s="2"/>
      <c r="P979" s="4"/>
    </row>
    <row r="980" spans="3:16" ht="15.75" customHeight="1">
      <c r="C980" s="1"/>
      <c r="D980" s="2"/>
      <c r="E980" s="3"/>
      <c r="F980" s="3"/>
      <c r="N980" s="2"/>
      <c r="P980" s="4"/>
    </row>
    <row r="981" spans="3:16" ht="15.75" customHeight="1">
      <c r="C981" s="1"/>
      <c r="D981" s="2"/>
      <c r="E981" s="3"/>
      <c r="F981" s="3"/>
      <c r="N981" s="2"/>
      <c r="P981" s="4"/>
    </row>
    <row r="982" spans="3:16" ht="15.75" customHeight="1">
      <c r="C982" s="1"/>
      <c r="D982" s="2"/>
      <c r="E982" s="3"/>
      <c r="F982" s="3"/>
      <c r="N982" s="2"/>
      <c r="P982" s="4"/>
    </row>
    <row r="983" spans="3:16" ht="15.75" customHeight="1">
      <c r="C983" s="1"/>
      <c r="D983" s="2"/>
      <c r="E983" s="3"/>
      <c r="F983" s="3"/>
      <c r="N983" s="2"/>
      <c r="P983" s="4"/>
    </row>
    <row r="984" spans="3:16" ht="15.75" customHeight="1">
      <c r="C984" s="1"/>
      <c r="D984" s="2"/>
      <c r="E984" s="3"/>
      <c r="F984" s="3"/>
      <c r="N984" s="2"/>
      <c r="P984" s="4"/>
    </row>
    <row r="985" spans="3:16" ht="15.75" customHeight="1">
      <c r="C985" s="1"/>
      <c r="D985" s="2"/>
      <c r="E985" s="3"/>
      <c r="F985" s="3"/>
      <c r="N985" s="2"/>
      <c r="P985" s="4"/>
    </row>
    <row r="986" spans="3:16" ht="15.75" customHeight="1">
      <c r="C986" s="1"/>
      <c r="D986" s="2"/>
      <c r="E986" s="3"/>
      <c r="F986" s="3"/>
      <c r="N986" s="2"/>
      <c r="P986" s="4"/>
    </row>
    <row r="987" spans="3:16" ht="15.75" customHeight="1">
      <c r="C987" s="1"/>
      <c r="D987" s="2"/>
      <c r="E987" s="3"/>
      <c r="F987" s="3"/>
      <c r="N987" s="2"/>
      <c r="P987" s="4"/>
    </row>
    <row r="988" spans="3:16" ht="15.75" customHeight="1">
      <c r="C988" s="1"/>
      <c r="D988" s="2"/>
      <c r="E988" s="3"/>
      <c r="F988" s="3"/>
      <c r="N988" s="2"/>
      <c r="P988" s="4"/>
    </row>
    <row r="989" spans="3:16" ht="15.75" customHeight="1">
      <c r="C989" s="1"/>
      <c r="D989" s="2"/>
      <c r="E989" s="3"/>
      <c r="F989" s="3"/>
      <c r="N989" s="2"/>
      <c r="P989" s="4"/>
    </row>
    <row r="990" spans="3:16" ht="15.75" customHeight="1">
      <c r="C990" s="1"/>
      <c r="D990" s="2"/>
      <c r="E990" s="3"/>
      <c r="F990" s="3"/>
      <c r="N990" s="2"/>
      <c r="P990" s="4"/>
    </row>
    <row r="991" spans="3:16" ht="15.75" customHeight="1">
      <c r="C991" s="1"/>
      <c r="D991" s="2"/>
      <c r="E991" s="3"/>
      <c r="F991" s="3"/>
      <c r="N991" s="2"/>
      <c r="P991" s="4"/>
    </row>
    <row r="992" spans="3:16" ht="15.75" customHeight="1">
      <c r="C992" s="1"/>
      <c r="D992" s="2"/>
      <c r="E992" s="3"/>
      <c r="F992" s="3"/>
      <c r="N992" s="2"/>
      <c r="P992" s="4"/>
    </row>
    <row r="993" spans="3:16" ht="15.75" customHeight="1">
      <c r="C993" s="1"/>
      <c r="D993" s="2"/>
      <c r="E993" s="3"/>
      <c r="F993" s="3"/>
      <c r="N993" s="2"/>
      <c r="P993" s="4"/>
    </row>
    <row r="994" spans="3:16" ht="15.75" customHeight="1">
      <c r="C994" s="1"/>
      <c r="D994" s="2"/>
      <c r="E994" s="3"/>
      <c r="F994" s="3"/>
      <c r="N994" s="2"/>
      <c r="P994" s="4"/>
    </row>
    <row r="995" spans="3:16" ht="15.75" customHeight="1">
      <c r="C995" s="1"/>
      <c r="D995" s="2"/>
      <c r="E995" s="3"/>
      <c r="F995" s="3"/>
      <c r="N995" s="2"/>
      <c r="P995" s="4"/>
    </row>
    <row r="996" spans="3:16" ht="15.75" customHeight="1">
      <c r="C996" s="1"/>
      <c r="D996" s="2"/>
      <c r="E996" s="3"/>
      <c r="F996" s="3"/>
      <c r="N996" s="2"/>
      <c r="P996" s="4"/>
    </row>
    <row r="997" spans="3:16" ht="15.75" customHeight="1">
      <c r="C997" s="1"/>
      <c r="D997" s="2"/>
      <c r="E997" s="3"/>
      <c r="F997" s="3"/>
      <c r="N997" s="2"/>
      <c r="P997" s="4"/>
    </row>
    <row r="998" spans="3:16" ht="15.75" customHeight="1">
      <c r="C998" s="1"/>
      <c r="D998" s="2"/>
      <c r="E998" s="3"/>
      <c r="F998" s="3"/>
      <c r="N998" s="2"/>
      <c r="P998" s="4"/>
    </row>
    <row r="999" spans="3:16" ht="15.75" customHeight="1">
      <c r="C999" s="1"/>
      <c r="D999" s="2"/>
      <c r="E999" s="3"/>
      <c r="F999" s="3"/>
      <c r="N999" s="2"/>
      <c r="P999" s="4"/>
    </row>
    <row r="1000" spans="3:16" ht="15.75" customHeight="1">
      <c r="C1000" s="1"/>
      <c r="D1000" s="2"/>
      <c r="E1000" s="3"/>
      <c r="F1000" s="3"/>
      <c r="N1000" s="2"/>
      <c r="P1000" s="4"/>
    </row>
    <row r="1001" spans="3:16" ht="15.75" customHeight="1">
      <c r="C1001" s="1"/>
      <c r="D1001" s="2"/>
      <c r="E1001" s="3"/>
      <c r="F1001" s="3"/>
      <c r="N1001" s="2"/>
      <c r="P1001" s="4"/>
    </row>
    <row r="1002" spans="3:16" ht="15.75" customHeight="1">
      <c r="C1002" s="1"/>
      <c r="D1002" s="2"/>
      <c r="E1002" s="3"/>
      <c r="F1002" s="3"/>
      <c r="N1002" s="2"/>
      <c r="P1002" s="4"/>
    </row>
  </sheetData>
  <dataValidations disablePrompts="1" count="1">
    <dataValidation type="list" allowBlank="1" showErrorMessage="1" sqref="AA1" xr:uid="{70414A5C-DFD2-4EA7-BA19-E5A5AFCDB52C}">
      <formula1>$AA$1:$AA$2</formula1>
    </dataValidation>
  </dataValidations>
  <pageMargins left="0.7" right="0.7" top="0.75" bottom="0.75" header="0" footer="0"/>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9CC01-48AB-4130-9CAF-ED6559C16EC2}">
  <dimension ref="B2:M57"/>
  <sheetViews>
    <sheetView workbookViewId="0">
      <selection activeCell="F14" sqref="F14"/>
    </sheetView>
  </sheetViews>
  <sheetFormatPr defaultColWidth="8.85546875" defaultRowHeight="15"/>
  <cols>
    <col min="2" max="2" width="35.85546875" customWidth="1"/>
    <col min="3" max="3" width="15.42578125" customWidth="1"/>
    <col min="4" max="4" width="19.42578125" style="28" customWidth="1"/>
    <col min="5" max="5" width="47.42578125" customWidth="1"/>
  </cols>
  <sheetData>
    <row r="2" spans="2:13" ht="15.95" thickBot="1"/>
    <row r="3" spans="2:13" ht="37.5" customHeight="1" thickBot="1">
      <c r="B3" s="72" t="s">
        <v>102</v>
      </c>
      <c r="C3" s="73" t="s">
        <v>103</v>
      </c>
      <c r="D3" s="73" t="s">
        <v>104</v>
      </c>
      <c r="E3" s="74" t="s">
        <v>105</v>
      </c>
    </row>
    <row r="4" spans="2:13" ht="17.100000000000001">
      <c r="B4" s="141" t="s">
        <v>106</v>
      </c>
      <c r="C4" s="258">
        <v>10000</v>
      </c>
      <c r="D4" s="259" t="s">
        <v>107</v>
      </c>
      <c r="E4" s="260" t="s">
        <v>108</v>
      </c>
    </row>
    <row r="5" spans="2:13" ht="17.100000000000001">
      <c r="B5" s="46" t="s">
        <v>109</v>
      </c>
      <c r="C5" s="183">
        <v>1</v>
      </c>
      <c r="D5" s="59" t="s">
        <v>110</v>
      </c>
      <c r="E5" s="57"/>
    </row>
    <row r="6" spans="2:13" ht="17.100000000000001">
      <c r="B6" s="46" t="s">
        <v>111</v>
      </c>
      <c r="C6" s="183">
        <v>3</v>
      </c>
      <c r="D6" s="59" t="s">
        <v>112</v>
      </c>
      <c r="E6" s="57"/>
      <c r="M6" s="171"/>
    </row>
    <row r="7" spans="2:13" ht="17.100000000000001">
      <c r="B7" s="46" t="s">
        <v>113</v>
      </c>
      <c r="C7" s="183">
        <v>3</v>
      </c>
      <c r="D7" s="59" t="s">
        <v>114</v>
      </c>
      <c r="E7" s="57"/>
    </row>
    <row r="8" spans="2:13" ht="33.950000000000003">
      <c r="B8" s="46" t="s">
        <v>115</v>
      </c>
      <c r="C8" s="79" t="s">
        <v>53</v>
      </c>
      <c r="D8" s="59" t="s">
        <v>116</v>
      </c>
      <c r="E8" s="57" t="s">
        <v>117</v>
      </c>
    </row>
    <row r="9" spans="2:13" ht="33.950000000000003">
      <c r="B9" s="46" t="s">
        <v>118</v>
      </c>
      <c r="C9" s="183">
        <v>2</v>
      </c>
      <c r="D9" s="59" t="s">
        <v>119</v>
      </c>
      <c r="E9" s="57" t="s">
        <v>120</v>
      </c>
    </row>
    <row r="10" spans="2:13" ht="33.950000000000003">
      <c r="B10" s="46" t="s">
        <v>121</v>
      </c>
      <c r="C10" s="183">
        <v>1</v>
      </c>
      <c r="D10" s="59" t="s">
        <v>122</v>
      </c>
      <c r="E10" s="57" t="s">
        <v>123</v>
      </c>
    </row>
    <row r="11" spans="2:13" ht="17.100000000000001">
      <c r="B11" s="46" t="s">
        <v>124</v>
      </c>
      <c r="C11" s="183">
        <v>3</v>
      </c>
      <c r="D11" s="59" t="s">
        <v>122</v>
      </c>
      <c r="E11" s="57" t="s">
        <v>125</v>
      </c>
    </row>
    <row r="12" spans="2:13" ht="17.100000000000001">
      <c r="B12" s="46" t="s">
        <v>126</v>
      </c>
      <c r="C12" s="183">
        <v>3</v>
      </c>
      <c r="D12" s="59" t="s">
        <v>119</v>
      </c>
      <c r="E12" s="57" t="s">
        <v>127</v>
      </c>
    </row>
    <row r="13" spans="2:13" ht="17.100000000000001">
      <c r="B13" s="46" t="s">
        <v>128</v>
      </c>
      <c r="C13" s="183">
        <v>1</v>
      </c>
      <c r="D13" s="59" t="s">
        <v>119</v>
      </c>
      <c r="E13" s="57" t="s">
        <v>129</v>
      </c>
    </row>
    <row r="14" spans="2:13" ht="35.1" thickBot="1">
      <c r="B14" s="47" t="s">
        <v>130</v>
      </c>
      <c r="C14" s="184">
        <v>0.5</v>
      </c>
      <c r="D14" s="60" t="s">
        <v>131</v>
      </c>
      <c r="E14" s="61" t="s">
        <v>132</v>
      </c>
    </row>
    <row r="15" spans="2:13" ht="15.95" thickBot="1"/>
    <row r="16" spans="2:13" ht="17.100000000000001">
      <c r="B16" s="141" t="s">
        <v>133</v>
      </c>
      <c r="C16" s="172">
        <f>Summary!I28</f>
        <v>91.960000000000008</v>
      </c>
      <c r="D16" s="319" t="s">
        <v>75</v>
      </c>
    </row>
    <row r="17" spans="2:4" ht="17.100000000000001">
      <c r="B17" s="46" t="s">
        <v>134</v>
      </c>
      <c r="C17" s="226">
        <f>Summary!I33/1000</f>
        <v>3.9580000000000002</v>
      </c>
      <c r="D17" s="320" t="s">
        <v>135</v>
      </c>
    </row>
    <row r="18" spans="2:4" ht="17.100000000000001">
      <c r="B18" s="46" t="s">
        <v>136</v>
      </c>
      <c r="C18" s="226">
        <f>(Summary!I7+Summary!I8)/1000</f>
        <v>0.22317240000000002</v>
      </c>
      <c r="D18" s="320" t="s">
        <v>135</v>
      </c>
    </row>
    <row r="19" spans="2:4" ht="17.100000000000001">
      <c r="B19" s="46" t="s">
        <v>137</v>
      </c>
      <c r="C19" s="226">
        <f>Summary!I35/1000</f>
        <v>4.3826000000000001</v>
      </c>
      <c r="D19" s="320" t="s">
        <v>135</v>
      </c>
    </row>
    <row r="20" spans="2:4" ht="17.100000000000001">
      <c r="B20" s="46" t="s">
        <v>138</v>
      </c>
      <c r="C20" s="226">
        <f>Summary!I37/1000</f>
        <v>0.88500000000000001</v>
      </c>
      <c r="D20" s="320" t="s">
        <v>135</v>
      </c>
    </row>
    <row r="21" spans="2:4" ht="17.100000000000001">
      <c r="B21" s="46" t="s">
        <v>95</v>
      </c>
      <c r="C21" s="226">
        <f>Summary!I42/1000</f>
        <v>7.4812500000000002</v>
      </c>
      <c r="D21" s="320" t="s">
        <v>135</v>
      </c>
    </row>
    <row r="22" spans="2:4" ht="21" thickBot="1">
      <c r="B22" s="151" t="s">
        <v>139</v>
      </c>
      <c r="C22" s="227">
        <f>SUM(C17:C21)</f>
        <v>16.930022400000002</v>
      </c>
      <c r="D22" s="152" t="s">
        <v>135</v>
      </c>
    </row>
    <row r="23" spans="2:4" ht="17.100000000000001">
      <c r="B23" s="261" t="s">
        <v>140</v>
      </c>
      <c r="C23" s="262">
        <f>C22*C14/100</f>
        <v>8.4650112000000013E-2</v>
      </c>
      <c r="D23" s="320" t="s">
        <v>135</v>
      </c>
    </row>
    <row r="24" spans="2:4" ht="21" thickBot="1">
      <c r="B24" s="151" t="s">
        <v>141</v>
      </c>
      <c r="C24" s="227">
        <f>SUM(C22:C23)</f>
        <v>17.014672512000001</v>
      </c>
      <c r="D24" s="152" t="s">
        <v>135</v>
      </c>
    </row>
    <row r="26" spans="2:4" ht="32.1">
      <c r="B26" s="182" t="s">
        <v>97</v>
      </c>
      <c r="C26" s="180" t="s">
        <v>98</v>
      </c>
    </row>
    <row r="27" spans="2:4" ht="32.1">
      <c r="B27" s="181" t="s">
        <v>99</v>
      </c>
      <c r="C27" s="180" t="s">
        <v>100</v>
      </c>
      <c r="D27"/>
    </row>
    <row r="28" spans="2:4">
      <c r="D28"/>
    </row>
    <row r="29" spans="2:4">
      <c r="D29"/>
    </row>
    <row r="30" spans="2:4">
      <c r="D30"/>
    </row>
    <row r="31" spans="2:4">
      <c r="D31"/>
    </row>
    <row r="32" spans="2:4">
      <c r="D32"/>
    </row>
    <row r="56" spans="3:3" ht="21">
      <c r="C56" s="89" t="s">
        <v>53</v>
      </c>
    </row>
    <row r="57" spans="3:3" ht="21">
      <c r="C57" s="89" t="s">
        <v>54</v>
      </c>
    </row>
  </sheetData>
  <conditionalFormatting sqref="C9:C10">
    <cfRule type="expression" dxfId="1" priority="1">
      <formula>$M$6="Pulse"</formula>
    </cfRule>
  </conditionalFormatting>
  <conditionalFormatting sqref="C9:C10">
    <cfRule type="expression" dxfId="0" priority="2">
      <formula>$M$6="Continuous"</formula>
    </cfRule>
  </conditionalFormatting>
  <dataValidations disablePrompts="1" count="1">
    <dataValidation type="list" allowBlank="1" showErrorMessage="1" sqref="C8" xr:uid="{70414A5C-DFD2-4EA7-BA19-E5A5AFCDB52C}">
      <formula1>$C$56:$C$57</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35175-AD9B-4F89-88FC-1E878A8E2F93}">
  <dimension ref="A1:F26"/>
  <sheetViews>
    <sheetView workbookViewId="0">
      <selection activeCell="D10" sqref="D10"/>
    </sheetView>
  </sheetViews>
  <sheetFormatPr defaultColWidth="8.85546875" defaultRowHeight="15"/>
  <cols>
    <col min="2" max="2" width="3.85546875" customWidth="1"/>
    <col min="3" max="3" width="52.85546875" customWidth="1"/>
    <col min="4" max="4" width="18.42578125" customWidth="1"/>
    <col min="5" max="5" width="40.7109375" customWidth="1"/>
    <col min="6" max="6" width="50.42578125" customWidth="1"/>
  </cols>
  <sheetData>
    <row r="1" spans="1:6">
      <c r="A1" s="171"/>
    </row>
    <row r="2" spans="1:6" ht="15.95" thickBot="1"/>
    <row r="3" spans="1:6" ht="24.95" thickBot="1">
      <c r="B3" s="241" t="s">
        <v>142</v>
      </c>
      <c r="C3" s="44"/>
      <c r="D3" s="45"/>
      <c r="E3" s="33"/>
      <c r="F3" s="34"/>
    </row>
    <row r="4" spans="1:6" ht="24.95" thickBot="1">
      <c r="B4" s="242"/>
      <c r="C4" s="239" t="s">
        <v>143</v>
      </c>
      <c r="D4" s="75" t="s">
        <v>144</v>
      </c>
      <c r="E4" s="75" t="s">
        <v>145</v>
      </c>
      <c r="F4" s="76" t="s">
        <v>105</v>
      </c>
    </row>
    <row r="5" spans="1:6" ht="32.1">
      <c r="B5" s="243"/>
      <c r="C5" s="240" t="s">
        <v>146</v>
      </c>
      <c r="D5" s="173">
        <f>'Exp. Details'!C4*'Seaweed details'!D16*('Exp. Details'!C5/100)/1000</f>
        <v>33.814</v>
      </c>
      <c r="E5" s="49" t="s">
        <v>147</v>
      </c>
      <c r="F5" s="321" t="s">
        <v>148</v>
      </c>
    </row>
    <row r="6" spans="1:6" ht="17.100000000000001">
      <c r="B6" s="244"/>
      <c r="C6" s="231" t="s">
        <v>149</v>
      </c>
      <c r="D6" s="174">
        <f>D5*'Exp. Details'!C6*'Exp. Details'!C9</f>
        <v>202.88400000000001</v>
      </c>
      <c r="E6" s="43" t="s">
        <v>150</v>
      </c>
      <c r="F6" s="287" t="s">
        <v>151</v>
      </c>
    </row>
    <row r="7" spans="1:6" ht="17.100000000000001">
      <c r="B7" s="244"/>
      <c r="C7" s="231" t="s">
        <v>152</v>
      </c>
      <c r="D7" s="174">
        <f>D5*1000/D16</f>
        <v>100</v>
      </c>
      <c r="E7" s="43" t="s">
        <v>153</v>
      </c>
      <c r="F7" s="287" t="s">
        <v>154</v>
      </c>
    </row>
    <row r="8" spans="1:6" ht="32.1">
      <c r="B8" s="244"/>
      <c r="C8" s="231" t="s">
        <v>155</v>
      </c>
      <c r="D8" s="305">
        <v>10</v>
      </c>
      <c r="E8" s="43" t="s">
        <v>156</v>
      </c>
      <c r="F8" s="287" t="s">
        <v>157</v>
      </c>
    </row>
    <row r="9" spans="1:6" ht="33.950000000000003">
      <c r="B9" s="244"/>
      <c r="C9" s="231" t="s">
        <v>158</v>
      </c>
      <c r="D9" s="304">
        <f>INT(D5/D8+0.99)</f>
        <v>4</v>
      </c>
      <c r="E9" s="43" t="s">
        <v>159</v>
      </c>
      <c r="F9" s="287" t="s">
        <v>160</v>
      </c>
    </row>
    <row r="10" spans="1:6" ht="15.95">
      <c r="B10" s="245"/>
      <c r="D10" s="233"/>
      <c r="F10" s="234"/>
    </row>
    <row r="11" spans="1:6" ht="17.100000000000001">
      <c r="B11" s="246"/>
      <c r="C11" s="237" t="s">
        <v>161</v>
      </c>
      <c r="D11" s="229">
        <v>1</v>
      </c>
      <c r="E11" s="230" t="s">
        <v>162</v>
      </c>
      <c r="F11" s="322" t="s">
        <v>163</v>
      </c>
    </row>
    <row r="12" spans="1:6" ht="17.100000000000001">
      <c r="B12" s="238"/>
      <c r="C12" s="231" t="s">
        <v>164</v>
      </c>
      <c r="D12" s="185">
        <v>0.1</v>
      </c>
      <c r="E12" s="43" t="s">
        <v>162</v>
      </c>
      <c r="F12" s="287" t="s">
        <v>163</v>
      </c>
    </row>
    <row r="13" spans="1:6" ht="33" thickBot="1">
      <c r="B13" s="232"/>
      <c r="C13" s="323" t="s">
        <v>165</v>
      </c>
      <c r="D13" s="228">
        <v>0.5</v>
      </c>
      <c r="E13" s="235" t="s">
        <v>166</v>
      </c>
      <c r="F13" s="236" t="s">
        <v>167</v>
      </c>
    </row>
    <row r="15" spans="1:6" ht="18.95">
      <c r="C15" s="51" t="s">
        <v>168</v>
      </c>
    </row>
    <row r="16" spans="1:6" ht="17.100000000000001">
      <c r="C16" s="46" t="s">
        <v>169</v>
      </c>
      <c r="D16" s="80">
        <v>338.14</v>
      </c>
      <c r="E16" s="59" t="s">
        <v>170</v>
      </c>
      <c r="F16" s="57" t="s">
        <v>171</v>
      </c>
    </row>
    <row r="19" spans="3:5" ht="32.1">
      <c r="C19" s="182" t="s">
        <v>97</v>
      </c>
      <c r="D19" s="180" t="s">
        <v>98</v>
      </c>
    </row>
    <row r="20" spans="3:5" ht="15.95">
      <c r="C20" s="181" t="s">
        <v>99</v>
      </c>
      <c r="D20" s="180" t="s">
        <v>100</v>
      </c>
    </row>
    <row r="23" spans="3:5">
      <c r="E23" s="280"/>
    </row>
    <row r="24" spans="3:5">
      <c r="E24" s="280"/>
    </row>
    <row r="25" spans="3:5">
      <c r="E25" s="280"/>
    </row>
    <row r="26" spans="3:5">
      <c r="E26" s="280"/>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A14C8-CA82-4F56-84DE-4C241FAF2E8D}">
  <dimension ref="B2:I33"/>
  <sheetViews>
    <sheetView workbookViewId="0">
      <selection activeCell="F12" sqref="F12:F25"/>
    </sheetView>
  </sheetViews>
  <sheetFormatPr defaultColWidth="8.85546875" defaultRowHeight="15"/>
  <cols>
    <col min="2" max="2" width="5.28515625" customWidth="1"/>
    <col min="3" max="3" width="42.140625" customWidth="1"/>
    <col min="4" max="5" width="15.42578125" customWidth="1"/>
    <col min="6" max="6" width="15.42578125" style="28" customWidth="1"/>
    <col min="7" max="8" width="22.42578125" style="28" customWidth="1"/>
    <col min="9" max="9" width="77.140625" customWidth="1"/>
  </cols>
  <sheetData>
    <row r="2" spans="2:9" ht="15.95" thickBot="1"/>
    <row r="3" spans="2:9" ht="24">
      <c r="B3" s="32" t="s">
        <v>172</v>
      </c>
      <c r="C3" s="69"/>
      <c r="D3" s="106"/>
      <c r="E3" s="106"/>
      <c r="F3" s="107"/>
      <c r="G3" s="107"/>
      <c r="H3" s="33"/>
      <c r="I3" s="34"/>
    </row>
    <row r="4" spans="2:9" ht="60">
      <c r="B4" s="108" t="s">
        <v>7</v>
      </c>
      <c r="C4" s="91"/>
      <c r="D4" s="93" t="s">
        <v>173</v>
      </c>
      <c r="E4" s="93" t="s">
        <v>174</v>
      </c>
      <c r="F4" s="92"/>
      <c r="G4" s="94" t="s">
        <v>175</v>
      </c>
      <c r="H4" s="93" t="s">
        <v>176</v>
      </c>
      <c r="I4" s="114" t="s">
        <v>105</v>
      </c>
    </row>
    <row r="5" spans="2:9" ht="33.950000000000003">
      <c r="B5" s="63"/>
      <c r="C5" s="68" t="s">
        <v>177</v>
      </c>
      <c r="D5" s="186">
        <v>1</v>
      </c>
      <c r="E5" s="308">
        <f>D5*SUM('Exp. Details'!C$6:C$7)</f>
        <v>6</v>
      </c>
      <c r="F5" s="59" t="s">
        <v>178</v>
      </c>
      <c r="G5" s="59"/>
      <c r="H5" s="95"/>
      <c r="I5" s="324" t="s">
        <v>179</v>
      </c>
    </row>
    <row r="6" spans="2:9" ht="33.950000000000003">
      <c r="B6" s="301">
        <v>1</v>
      </c>
      <c r="C6" s="68" t="s">
        <v>180</v>
      </c>
      <c r="D6" s="186">
        <v>2</v>
      </c>
      <c r="E6" s="308">
        <f>D6*SUM('Exp. Details'!C$6:C$7)</f>
        <v>12</v>
      </c>
      <c r="F6" s="59" t="s">
        <v>181</v>
      </c>
      <c r="G6" s="279">
        <f>VLOOKUP(B6,'Instrument and Sensor costs'!$B$7:$D$28,3,FALSE)</f>
        <v>20</v>
      </c>
      <c r="H6" s="175">
        <f>E6*G6</f>
        <v>240</v>
      </c>
      <c r="I6" s="71"/>
    </row>
    <row r="7" spans="2:9" ht="33.950000000000003">
      <c r="B7" s="301">
        <v>2</v>
      </c>
      <c r="C7" s="68" t="s">
        <v>182</v>
      </c>
      <c r="D7" s="186">
        <v>16</v>
      </c>
      <c r="E7" s="308">
        <f>D7*SUM('Exp. Details'!C$6:C$7)</f>
        <v>96</v>
      </c>
      <c r="F7" s="59" t="s">
        <v>181</v>
      </c>
      <c r="G7" s="279">
        <f>VLOOKUP(B7,'Instrument and Sensor costs'!$B$7:$D$28,3,FALSE)</f>
        <v>0.8</v>
      </c>
      <c r="H7" s="175">
        <f>E7*G7</f>
        <v>76.800000000000011</v>
      </c>
      <c r="I7" s="71"/>
    </row>
    <row r="8" spans="2:9" ht="33.950000000000003">
      <c r="B8" s="301">
        <v>3</v>
      </c>
      <c r="C8" s="68" t="s">
        <v>183</v>
      </c>
      <c r="D8" s="186">
        <v>1</v>
      </c>
      <c r="E8" s="308">
        <f>D8*SUM('Exp. Details'!C$6:C$7)</f>
        <v>6</v>
      </c>
      <c r="F8" s="59" t="s">
        <v>181</v>
      </c>
      <c r="G8" s="279">
        <v>5</v>
      </c>
      <c r="H8" s="175">
        <f>E8*G8</f>
        <v>30</v>
      </c>
      <c r="I8" s="71"/>
    </row>
    <row r="9" spans="2:9" ht="33.950000000000003">
      <c r="B9" s="63"/>
      <c r="C9" s="96" t="s">
        <v>184</v>
      </c>
      <c r="D9" s="186">
        <v>12</v>
      </c>
      <c r="E9" s="186"/>
      <c r="F9" s="59" t="s">
        <v>185</v>
      </c>
      <c r="G9" s="97"/>
      <c r="H9" s="98"/>
      <c r="I9" s="71"/>
    </row>
    <row r="10" spans="2:9" ht="12.75" customHeight="1">
      <c r="B10" s="63"/>
      <c r="C10" s="96"/>
      <c r="D10" s="59"/>
      <c r="E10" s="59"/>
      <c r="F10" s="59"/>
      <c r="G10" s="97"/>
      <c r="H10" s="98"/>
      <c r="I10" s="71"/>
    </row>
    <row r="11" spans="2:9" ht="48">
      <c r="B11" s="108" t="s">
        <v>186</v>
      </c>
      <c r="C11" s="99"/>
      <c r="D11" s="93" t="s">
        <v>187</v>
      </c>
      <c r="E11" s="93" t="s">
        <v>188</v>
      </c>
      <c r="F11" s="93"/>
      <c r="G11" s="94" t="s">
        <v>175</v>
      </c>
      <c r="H11" s="100"/>
      <c r="I11" s="287" t="s">
        <v>189</v>
      </c>
    </row>
    <row r="12" spans="2:9" ht="18.95">
      <c r="B12" s="286">
        <v>4</v>
      </c>
      <c r="C12" s="68" t="s">
        <v>190</v>
      </c>
      <c r="D12" s="186">
        <v>1</v>
      </c>
      <c r="E12" s="308">
        <f>D12*SUM('Exp. Details'!C$6:C$7)</f>
        <v>6</v>
      </c>
      <c r="F12" s="93"/>
      <c r="G12" s="279">
        <f>VLOOKUP(B12,'Instrument and Sensor costs'!$B$7:$D$28,3,FALSE)</f>
        <v>35</v>
      </c>
      <c r="H12" s="175">
        <f t="shared" ref="H12:H22" si="0">E12*G12</f>
        <v>210</v>
      </c>
      <c r="I12" s="325"/>
    </row>
    <row r="13" spans="2:9" ht="18.95">
      <c r="B13" s="286">
        <v>5</v>
      </c>
      <c r="C13" s="68" t="s">
        <v>191</v>
      </c>
      <c r="D13" s="186">
        <v>1</v>
      </c>
      <c r="E13" s="308">
        <f>D13*SUM('Exp. Details'!C$6:C$7)</f>
        <v>6</v>
      </c>
      <c r="F13" s="93"/>
      <c r="G13" s="279">
        <f>VLOOKUP(B13,'Instrument and Sensor costs'!$B$7:$D$28,3,FALSE)</f>
        <v>50</v>
      </c>
      <c r="H13" s="175">
        <f t="shared" si="0"/>
        <v>300</v>
      </c>
      <c r="I13" s="71"/>
    </row>
    <row r="14" spans="2:9" ht="18.95">
      <c r="B14" s="286">
        <v>6</v>
      </c>
      <c r="C14" s="68" t="s">
        <v>192</v>
      </c>
      <c r="D14" s="186">
        <v>1</v>
      </c>
      <c r="E14" s="308">
        <f>D14*SUM('Exp. Details'!C$6:C$7)</f>
        <v>6</v>
      </c>
      <c r="F14" s="93"/>
      <c r="G14" s="279">
        <f>VLOOKUP(B14,'Instrument and Sensor costs'!$B$7:$D$28,3,FALSE)</f>
        <v>6</v>
      </c>
      <c r="H14" s="175">
        <f t="shared" si="0"/>
        <v>36</v>
      </c>
      <c r="I14" s="71"/>
    </row>
    <row r="15" spans="2:9" ht="18.95">
      <c r="B15" s="286">
        <v>7</v>
      </c>
      <c r="C15" s="68" t="s">
        <v>193</v>
      </c>
      <c r="D15" s="186">
        <v>1</v>
      </c>
      <c r="E15" s="308">
        <f>D15*SUM('Exp. Details'!C$6:C$7)</f>
        <v>6</v>
      </c>
      <c r="F15" s="93"/>
      <c r="G15" s="279">
        <f>VLOOKUP(B15,'Instrument and Sensor costs'!$B$7:$D$28,3,FALSE)</f>
        <v>25</v>
      </c>
      <c r="H15" s="175">
        <f t="shared" si="0"/>
        <v>150</v>
      </c>
      <c r="I15" s="71"/>
    </row>
    <row r="16" spans="2:9" ht="18.95">
      <c r="B16" s="286">
        <v>8</v>
      </c>
      <c r="C16" s="68" t="s">
        <v>194</v>
      </c>
      <c r="D16" s="186">
        <v>2</v>
      </c>
      <c r="E16" s="308">
        <f>D16*SUM('Exp. Details'!C$6:C$7)</f>
        <v>12</v>
      </c>
      <c r="F16" s="93"/>
      <c r="G16" s="279">
        <f>VLOOKUP(B16,'Instrument and Sensor costs'!$B$7:$D$28,3,FALSE)</f>
        <v>18</v>
      </c>
      <c r="H16" s="175">
        <f t="shared" si="0"/>
        <v>216</v>
      </c>
      <c r="I16" s="71"/>
    </row>
    <row r="17" spans="2:9" ht="18.95">
      <c r="B17" s="286">
        <v>9</v>
      </c>
      <c r="C17" s="68" t="s">
        <v>195</v>
      </c>
      <c r="D17" s="186">
        <v>1</v>
      </c>
      <c r="E17" s="308">
        <f>D17*SUM('Exp. Details'!C$6:C$7)</f>
        <v>6</v>
      </c>
      <c r="F17" s="93"/>
      <c r="G17" s="279">
        <f>VLOOKUP(B17,'Instrument and Sensor costs'!$B$7:$D$28,3,FALSE)</f>
        <v>6</v>
      </c>
      <c r="H17" s="175">
        <f t="shared" si="0"/>
        <v>36</v>
      </c>
      <c r="I17" s="71"/>
    </row>
    <row r="18" spans="2:9" ht="18.95">
      <c r="B18" s="286">
        <v>10</v>
      </c>
      <c r="C18" s="68" t="s">
        <v>196</v>
      </c>
      <c r="D18" s="186">
        <v>0</v>
      </c>
      <c r="E18" s="308">
        <f>D18*SUM('Exp. Details'!C$6:C$7)</f>
        <v>0</v>
      </c>
      <c r="F18" s="93"/>
      <c r="G18" s="279">
        <f>VLOOKUP(B18,'Instrument and Sensor costs'!$B$7:$D$28,3,FALSE)</f>
        <v>6</v>
      </c>
      <c r="H18" s="175">
        <f t="shared" si="0"/>
        <v>0</v>
      </c>
      <c r="I18" s="71"/>
    </row>
    <row r="19" spans="2:9" ht="18.95">
      <c r="B19" s="286">
        <v>11</v>
      </c>
      <c r="C19" s="68" t="s">
        <v>197</v>
      </c>
      <c r="D19" s="186">
        <v>0</v>
      </c>
      <c r="E19" s="308">
        <f>D19*SUM('Exp. Details'!C$6:C$7)</f>
        <v>0</v>
      </c>
      <c r="F19" s="93"/>
      <c r="G19" s="279">
        <f>VLOOKUP(B19,'Instrument and Sensor costs'!$B$7:$D$28,3,FALSE)</f>
        <v>30</v>
      </c>
      <c r="H19" s="175">
        <f t="shared" si="0"/>
        <v>0</v>
      </c>
      <c r="I19" s="71"/>
    </row>
    <row r="20" spans="2:9" ht="18.95">
      <c r="B20" s="286">
        <v>12</v>
      </c>
      <c r="C20" s="68" t="s">
        <v>198</v>
      </c>
      <c r="D20" s="186">
        <v>1</v>
      </c>
      <c r="E20" s="308">
        <f>D20*SUM('Exp. Details'!C$6:C$7)</f>
        <v>6</v>
      </c>
      <c r="F20" s="93"/>
      <c r="G20" s="279">
        <f>VLOOKUP(B20,'Instrument and Sensor costs'!$B$7:$D$28,3,FALSE)</f>
        <v>20</v>
      </c>
      <c r="H20" s="175">
        <f t="shared" si="0"/>
        <v>120</v>
      </c>
      <c r="I20" s="71"/>
    </row>
    <row r="21" spans="2:9" ht="18.95">
      <c r="B21" s="301">
        <v>14</v>
      </c>
      <c r="C21" s="68" t="s">
        <v>199</v>
      </c>
      <c r="D21" s="186">
        <v>0</v>
      </c>
      <c r="E21" s="308">
        <f>D21*SUM('Exp. Details'!C$6:C$7)</f>
        <v>0</v>
      </c>
      <c r="F21" s="93"/>
      <c r="G21" s="279">
        <f>VLOOKUP(B21,'Instrument and Sensor costs'!$B$7:$D$28,3,FALSE)</f>
        <v>50</v>
      </c>
      <c r="H21" s="175">
        <f t="shared" si="0"/>
        <v>0</v>
      </c>
      <c r="I21" s="71"/>
    </row>
    <row r="22" spans="2:9" ht="18.95">
      <c r="B22" s="301">
        <v>15</v>
      </c>
      <c r="C22" s="68" t="s">
        <v>200</v>
      </c>
      <c r="D22" s="186">
        <v>1</v>
      </c>
      <c r="E22" s="308">
        <f>D22*SUM('Exp. Details'!C$6:C$7)</f>
        <v>6</v>
      </c>
      <c r="F22" s="93"/>
      <c r="G22" s="279">
        <f>VLOOKUP(B22,'Instrument and Sensor costs'!$B$7:$D$28,3,FALSE)</f>
        <v>110</v>
      </c>
      <c r="H22" s="175">
        <f t="shared" si="0"/>
        <v>660</v>
      </c>
      <c r="I22" s="71"/>
    </row>
    <row r="23" spans="2:9" ht="18.95">
      <c r="B23" s="63"/>
      <c r="C23" s="31"/>
      <c r="D23" s="58"/>
      <c r="E23" s="58"/>
      <c r="F23" s="58"/>
      <c r="G23" s="101"/>
      <c r="H23" s="102"/>
      <c r="I23" s="58"/>
    </row>
    <row r="24" spans="2:9" ht="15.95">
      <c r="B24" s="63"/>
      <c r="C24" s="96" t="s">
        <v>201</v>
      </c>
      <c r="D24" s="186">
        <v>1</v>
      </c>
      <c r="E24" s="308">
        <f>D24*SUM('Exp. Details'!C$6:C$7)</f>
        <v>6</v>
      </c>
      <c r="F24" s="59"/>
      <c r="G24" s="187">
        <v>10</v>
      </c>
      <c r="H24" s="175">
        <f>E24*G24</f>
        <v>60</v>
      </c>
      <c r="I24" s="324" t="s">
        <v>202</v>
      </c>
    </row>
    <row r="25" spans="2:9" ht="15.95">
      <c r="B25" s="63"/>
      <c r="C25" s="96"/>
      <c r="D25" s="186"/>
      <c r="E25" s="186"/>
      <c r="F25" s="59"/>
      <c r="G25" s="187"/>
      <c r="H25" s="187"/>
      <c r="I25" s="324"/>
    </row>
    <row r="26" spans="2:9" ht="18.95">
      <c r="B26" s="108" t="s">
        <v>203</v>
      </c>
      <c r="C26" s="96"/>
      <c r="D26" s="186"/>
      <c r="E26" s="186"/>
      <c r="F26" s="59"/>
      <c r="G26" s="187"/>
      <c r="H26" s="187"/>
      <c r="I26" s="324"/>
    </row>
    <row r="27" spans="2:9" ht="17.100000000000001">
      <c r="B27" s="63"/>
      <c r="C27" s="43" t="s">
        <v>204</v>
      </c>
      <c r="D27" s="186">
        <v>0.5</v>
      </c>
      <c r="E27" s="308">
        <f>D27*SUM('Exp. Details'!C$6:C$7)</f>
        <v>3</v>
      </c>
      <c r="G27" s="187"/>
      <c r="H27" s="187"/>
      <c r="I27" s="43" t="s">
        <v>205</v>
      </c>
    </row>
    <row r="28" spans="2:9" ht="33.950000000000003">
      <c r="B28" s="110"/>
      <c r="C28" s="43" t="s">
        <v>206</v>
      </c>
      <c r="D28" s="177">
        <f>IF((2*Moorings!D27*Moorings!D5)&gt;1,(2*Moorings!D27*Moorings!D5),1)*12/D9</f>
        <v>1</v>
      </c>
      <c r="E28" s="308">
        <f>D28*SUM('Exp. Details'!C$6:C$7)</f>
        <v>6</v>
      </c>
      <c r="G28" s="175">
        <f>'Ship-ROV req.'!D29</f>
        <v>35</v>
      </c>
      <c r="H28" s="224">
        <f>E28*G28</f>
        <v>210</v>
      </c>
      <c r="I28" s="43" t="s">
        <v>207</v>
      </c>
    </row>
    <row r="29" spans="2:9" ht="45" thickBot="1">
      <c r="B29" s="192" t="s">
        <v>208</v>
      </c>
      <c r="C29" s="111"/>
      <c r="D29" s="42"/>
      <c r="E29" s="42"/>
      <c r="F29" s="42"/>
      <c r="G29" s="112" t="s">
        <v>209</v>
      </c>
      <c r="H29" s="176">
        <f>SUM(H6:H24)</f>
        <v>2134.8000000000002</v>
      </c>
      <c r="I29" s="113"/>
    </row>
    <row r="32" spans="2:9" ht="32.1">
      <c r="C32" s="182" t="s">
        <v>97</v>
      </c>
      <c r="D32" s="180" t="s">
        <v>98</v>
      </c>
      <c r="E32" s="216"/>
    </row>
    <row r="33" spans="3:5" ht="32.1">
      <c r="C33" s="181" t="s">
        <v>99</v>
      </c>
      <c r="D33" s="180" t="s">
        <v>100</v>
      </c>
      <c r="E33" s="216"/>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DFE18-47A6-4386-903B-BA7816F998D3}">
  <dimension ref="B2:J33"/>
  <sheetViews>
    <sheetView workbookViewId="0">
      <selection activeCell="G8" sqref="G8"/>
    </sheetView>
  </sheetViews>
  <sheetFormatPr defaultColWidth="8.85546875" defaultRowHeight="15"/>
  <cols>
    <col min="2" max="2" width="5.28515625" customWidth="1"/>
    <col min="3" max="3" width="50.7109375" customWidth="1"/>
    <col min="4" max="5" width="21.42578125" customWidth="1"/>
    <col min="6" max="6" width="4.85546875" customWidth="1"/>
    <col min="7" max="7" width="15.42578125" style="28" customWidth="1"/>
    <col min="8" max="8" width="20.85546875" style="28" customWidth="1"/>
    <col min="9" max="9" width="14" style="28" customWidth="1"/>
    <col min="10" max="10" width="70.85546875" customWidth="1"/>
  </cols>
  <sheetData>
    <row r="2" spans="2:10" ht="15.95" thickBot="1"/>
    <row r="3" spans="2:10" ht="24">
      <c r="B3" s="32" t="s">
        <v>210</v>
      </c>
      <c r="C3" s="69"/>
      <c r="D3" s="106"/>
      <c r="E3" s="106"/>
      <c r="F3" s="106"/>
      <c r="G3" s="107"/>
      <c r="H3" s="107"/>
      <c r="I3" s="33"/>
      <c r="J3" s="34"/>
    </row>
    <row r="4" spans="2:10" ht="39.950000000000003">
      <c r="B4" s="63" t="s">
        <v>211</v>
      </c>
      <c r="C4" s="108" t="s">
        <v>212</v>
      </c>
      <c r="D4" s="93" t="s">
        <v>213</v>
      </c>
      <c r="E4" s="93" t="s">
        <v>214</v>
      </c>
      <c r="F4" s="58"/>
      <c r="G4" s="92" t="s">
        <v>145</v>
      </c>
      <c r="H4" s="94" t="s">
        <v>175</v>
      </c>
      <c r="I4" s="93" t="s">
        <v>215</v>
      </c>
      <c r="J4" s="114" t="s">
        <v>105</v>
      </c>
    </row>
    <row r="5" spans="2:10" ht="48">
      <c r="B5" s="63"/>
      <c r="C5" s="303" t="s">
        <v>216</v>
      </c>
      <c r="D5" s="186">
        <v>1</v>
      </c>
      <c r="E5" s="308">
        <f>D5*SUM('Exp. Details'!C$6:C$7)</f>
        <v>6</v>
      </c>
      <c r="F5" s="58"/>
      <c r="G5" s="92"/>
      <c r="H5" s="94"/>
      <c r="I5" s="93"/>
      <c r="J5" s="287" t="s">
        <v>217</v>
      </c>
    </row>
    <row r="6" spans="2:10" ht="33.950000000000003">
      <c r="B6" s="301">
        <v>1</v>
      </c>
      <c r="C6" s="68" t="s">
        <v>218</v>
      </c>
      <c r="D6" s="186">
        <v>1</v>
      </c>
      <c r="E6" s="308">
        <f>D6*SUM('Exp. Details'!C$6:C$7)</f>
        <v>6</v>
      </c>
      <c r="F6" s="58"/>
      <c r="G6" s="59" t="s">
        <v>181</v>
      </c>
      <c r="H6" s="279">
        <f>VLOOKUP(B6,'Instrument and Sensor costs'!$B$7:$D$28,3,FALSE)</f>
        <v>20</v>
      </c>
      <c r="I6" s="175">
        <f>E6*H6</f>
        <v>120</v>
      </c>
      <c r="J6" s="71"/>
    </row>
    <row r="7" spans="2:10" ht="33.950000000000003">
      <c r="B7" s="301">
        <v>2</v>
      </c>
      <c r="C7" s="68" t="s">
        <v>219</v>
      </c>
      <c r="D7" s="186">
        <v>6</v>
      </c>
      <c r="E7" s="308">
        <f>D7*SUM('Exp. Details'!C$6:C$7)</f>
        <v>36</v>
      </c>
      <c r="F7" s="58"/>
      <c r="G7" s="59" t="s">
        <v>181</v>
      </c>
      <c r="H7" s="279">
        <f>VLOOKUP(B7,'Instrument and Sensor costs'!$B$7:$D$28,3,FALSE)</f>
        <v>0.8</v>
      </c>
      <c r="I7" s="175">
        <f>E7*H7</f>
        <v>28.8</v>
      </c>
      <c r="J7" s="71"/>
    </row>
    <row r="8" spans="2:10" ht="33.950000000000003">
      <c r="B8" s="301">
        <v>3</v>
      </c>
      <c r="C8" s="68" t="s">
        <v>220</v>
      </c>
      <c r="D8" s="186">
        <v>1</v>
      </c>
      <c r="E8" s="308">
        <f>D8*SUM('Exp. Details'!C$6:C$7)</f>
        <v>6</v>
      </c>
      <c r="F8" s="58"/>
      <c r="G8" s="59" t="s">
        <v>181</v>
      </c>
      <c r="H8" s="279">
        <f>VLOOKUP(B8,'Instrument and Sensor costs'!$B$7:$D$28,3,FALSE)</f>
        <v>1</v>
      </c>
      <c r="I8" s="175">
        <f>E8*H8</f>
        <v>6</v>
      </c>
      <c r="J8" s="71"/>
    </row>
    <row r="9" spans="2:10" ht="33.950000000000003">
      <c r="B9" s="301"/>
      <c r="C9" s="96" t="s">
        <v>221</v>
      </c>
      <c r="D9" s="186">
        <v>12</v>
      </c>
      <c r="E9" s="308">
        <f>D9*SUM('Exp. Details'!C$6:C$7)</f>
        <v>72</v>
      </c>
      <c r="F9" s="58"/>
      <c r="G9" s="59" t="s">
        <v>185</v>
      </c>
      <c r="H9" s="97"/>
      <c r="I9" s="98"/>
      <c r="J9" s="71"/>
    </row>
    <row r="10" spans="2:10" ht="18.95">
      <c r="B10" s="301"/>
      <c r="C10" s="96"/>
      <c r="D10" s="59"/>
      <c r="E10" s="59"/>
      <c r="F10" s="58"/>
      <c r="G10" s="59"/>
      <c r="H10" s="97"/>
      <c r="I10" s="98"/>
      <c r="J10" s="71"/>
    </row>
    <row r="11" spans="2:10" ht="39.950000000000003">
      <c r="B11" s="108" t="s">
        <v>222</v>
      </c>
      <c r="C11" s="99"/>
      <c r="D11" s="93" t="s">
        <v>223</v>
      </c>
      <c r="E11" s="93" t="s">
        <v>224</v>
      </c>
      <c r="F11" s="58"/>
      <c r="G11" s="93" t="s">
        <v>225</v>
      </c>
      <c r="H11" s="94" t="s">
        <v>175</v>
      </c>
      <c r="I11" s="100"/>
      <c r="J11" s="287"/>
    </row>
    <row r="12" spans="2:10" ht="51.75" customHeight="1">
      <c r="B12" s="301">
        <v>18</v>
      </c>
      <c r="C12" s="199" t="s">
        <v>226</v>
      </c>
      <c r="D12" s="186">
        <v>1</v>
      </c>
      <c r="E12" s="308">
        <f>D12*SUM('Exp. Details'!C$6:C$7)</f>
        <v>6</v>
      </c>
      <c r="F12" s="302"/>
      <c r="G12" s="186">
        <v>1</v>
      </c>
      <c r="H12" s="279">
        <f>VLOOKUP(B12,'Instrument and Sensor costs'!$B$7:$D$28,3,FALSE)</f>
        <v>50</v>
      </c>
      <c r="I12" s="175">
        <f>E12*G12*H12</f>
        <v>300</v>
      </c>
      <c r="J12" s="287" t="s">
        <v>227</v>
      </c>
    </row>
    <row r="13" spans="2:10" ht="18.95">
      <c r="B13" s="301">
        <v>4</v>
      </c>
      <c r="C13" s="68" t="s">
        <v>190</v>
      </c>
      <c r="D13" s="186">
        <v>1</v>
      </c>
      <c r="E13" s="308">
        <f>D13*SUM('Exp. Details'!C$6:C$7)</f>
        <v>6</v>
      </c>
      <c r="F13" s="58"/>
      <c r="G13" s="186">
        <v>1</v>
      </c>
      <c r="H13" s="279">
        <f>VLOOKUP(B13,'Instrument and Sensor costs'!$B$7:$D$28,3,FALSE)</f>
        <v>35</v>
      </c>
      <c r="I13" s="175">
        <f t="shared" ref="I13:I22" si="0">E13*G13*H13</f>
        <v>210</v>
      </c>
      <c r="J13" s="325"/>
    </row>
    <row r="14" spans="2:10" ht="18.95">
      <c r="B14" s="301">
        <v>5</v>
      </c>
      <c r="C14" s="68" t="s">
        <v>191</v>
      </c>
      <c r="D14" s="186">
        <v>1</v>
      </c>
      <c r="E14" s="308">
        <f>D14*SUM('Exp. Details'!C$6:C$7)</f>
        <v>6</v>
      </c>
      <c r="F14" s="58"/>
      <c r="G14" s="186">
        <v>1</v>
      </c>
      <c r="H14" s="279">
        <f>VLOOKUP(B14,'Instrument and Sensor costs'!$B$7:$D$28,3,FALSE)</f>
        <v>50</v>
      </c>
      <c r="I14" s="175">
        <f t="shared" si="0"/>
        <v>300</v>
      </c>
      <c r="J14" s="71"/>
    </row>
    <row r="15" spans="2:10" ht="18.95">
      <c r="B15" s="301">
        <v>6</v>
      </c>
      <c r="C15" s="68" t="s">
        <v>192</v>
      </c>
      <c r="D15" s="186">
        <v>1</v>
      </c>
      <c r="E15" s="308">
        <f>D15*SUM('Exp. Details'!C$6:C$7)</f>
        <v>6</v>
      </c>
      <c r="F15" s="58"/>
      <c r="G15" s="186">
        <v>1</v>
      </c>
      <c r="H15" s="279">
        <f>VLOOKUP(B15,'Instrument and Sensor costs'!$B$7:$D$28,3,FALSE)</f>
        <v>6</v>
      </c>
      <c r="I15" s="175">
        <f t="shared" si="0"/>
        <v>36</v>
      </c>
      <c r="J15" s="71"/>
    </row>
    <row r="16" spans="2:10" ht="18.95">
      <c r="B16" s="301">
        <v>7</v>
      </c>
      <c r="C16" s="68" t="s">
        <v>228</v>
      </c>
      <c r="D16" s="186">
        <v>1</v>
      </c>
      <c r="E16" s="308">
        <f>D16*SUM('Exp. Details'!C$6:C$7)</f>
        <v>6</v>
      </c>
      <c r="F16" s="58"/>
      <c r="G16" s="186">
        <v>1</v>
      </c>
      <c r="H16" s="279">
        <f>VLOOKUP(B16,'Instrument and Sensor costs'!$B$7:$D$28,3,FALSE)</f>
        <v>25</v>
      </c>
      <c r="I16" s="175">
        <f t="shared" si="0"/>
        <v>150</v>
      </c>
      <c r="J16" s="71"/>
    </row>
    <row r="17" spans="2:10" ht="18.95">
      <c r="B17" s="301">
        <v>8</v>
      </c>
      <c r="C17" s="68" t="s">
        <v>229</v>
      </c>
      <c r="D17" s="186">
        <v>0</v>
      </c>
      <c r="E17" s="308">
        <f>D17*SUM('Exp. Details'!C$6:C$7)</f>
        <v>0</v>
      </c>
      <c r="F17" s="58"/>
      <c r="G17" s="186">
        <v>1</v>
      </c>
      <c r="H17" s="279">
        <f>VLOOKUP(B17,'Instrument and Sensor costs'!$B$7:$D$28,3,FALSE)</f>
        <v>18</v>
      </c>
      <c r="I17" s="175">
        <f t="shared" si="0"/>
        <v>0</v>
      </c>
      <c r="J17" s="71"/>
    </row>
    <row r="18" spans="2:10" ht="18.95">
      <c r="B18" s="301">
        <v>9</v>
      </c>
      <c r="C18" s="68" t="s">
        <v>195</v>
      </c>
      <c r="D18" s="186">
        <v>1</v>
      </c>
      <c r="E18" s="308">
        <f>D18*SUM('Exp. Details'!C$6:C$7)</f>
        <v>6</v>
      </c>
      <c r="F18" s="58"/>
      <c r="G18" s="186">
        <v>1</v>
      </c>
      <c r="H18" s="279">
        <f>VLOOKUP(B18,'Instrument and Sensor costs'!$B$7:$D$28,3,FALSE)</f>
        <v>6</v>
      </c>
      <c r="I18" s="175">
        <f t="shared" si="0"/>
        <v>36</v>
      </c>
      <c r="J18" s="71"/>
    </row>
    <row r="19" spans="2:10" ht="18.95">
      <c r="B19" s="301">
        <v>10</v>
      </c>
      <c r="C19" s="68" t="s">
        <v>230</v>
      </c>
      <c r="D19" s="186">
        <v>1</v>
      </c>
      <c r="E19" s="308">
        <f>D19*SUM('Exp. Details'!C$6:C$7)</f>
        <v>6</v>
      </c>
      <c r="F19" s="58"/>
      <c r="G19" s="186">
        <v>1</v>
      </c>
      <c r="H19" s="279">
        <f>VLOOKUP(B19,'Instrument and Sensor costs'!$B$7:$D$28,3,FALSE)</f>
        <v>6</v>
      </c>
      <c r="I19" s="175">
        <f t="shared" si="0"/>
        <v>36</v>
      </c>
      <c r="J19" s="71"/>
    </row>
    <row r="20" spans="2:10" ht="18.95">
      <c r="B20" s="301">
        <v>11</v>
      </c>
      <c r="C20" s="68" t="s">
        <v>231</v>
      </c>
      <c r="D20" s="186">
        <v>1</v>
      </c>
      <c r="E20" s="308">
        <f>D20*SUM('Exp. Details'!C$6:C$7)</f>
        <v>6</v>
      </c>
      <c r="F20" s="58"/>
      <c r="G20" s="186">
        <v>1</v>
      </c>
      <c r="H20" s="279">
        <f>VLOOKUP(B20,'Instrument and Sensor costs'!$B$7:$D$28,3,FALSE)</f>
        <v>30</v>
      </c>
      <c r="I20" s="175">
        <f t="shared" si="0"/>
        <v>180</v>
      </c>
      <c r="J20" s="71"/>
    </row>
    <row r="21" spans="2:10" ht="18.95">
      <c r="B21" s="301">
        <v>12</v>
      </c>
      <c r="C21" s="68" t="s">
        <v>198</v>
      </c>
      <c r="D21" s="186">
        <v>1</v>
      </c>
      <c r="E21" s="308">
        <f>D21*SUM('Exp. Details'!C$6:C$7)</f>
        <v>6</v>
      </c>
      <c r="F21" s="58"/>
      <c r="G21" s="186">
        <v>1</v>
      </c>
      <c r="H21" s="279">
        <f>VLOOKUP(B21,'Instrument and Sensor costs'!$B$7:$D$28,3,FALSE)</f>
        <v>20</v>
      </c>
      <c r="I21" s="175">
        <f t="shared" si="0"/>
        <v>120</v>
      </c>
      <c r="J21" s="71"/>
    </row>
    <row r="22" spans="2:10" ht="18.95">
      <c r="B22" s="109">
        <v>15</v>
      </c>
      <c r="C22" s="68" t="s">
        <v>199</v>
      </c>
      <c r="D22" s="299">
        <v>1</v>
      </c>
      <c r="E22" s="308">
        <f>D22*SUM('Exp. Details'!C$6:C$7)</f>
        <v>6</v>
      </c>
      <c r="F22" s="58"/>
      <c r="G22" s="186">
        <v>1</v>
      </c>
      <c r="H22" s="279">
        <f>VLOOKUP(B22,'Instrument and Sensor costs'!$B$7:$D$28,3,FALSE)</f>
        <v>110</v>
      </c>
      <c r="I22" s="175">
        <f t="shared" si="0"/>
        <v>660</v>
      </c>
      <c r="J22" s="71" t="s">
        <v>232</v>
      </c>
    </row>
    <row r="23" spans="2:10" ht="18.95">
      <c r="B23" s="63"/>
      <c r="C23" s="68"/>
      <c r="D23" s="59"/>
      <c r="E23" s="59"/>
      <c r="F23" s="58"/>
      <c r="G23" s="59"/>
      <c r="H23" s="59"/>
      <c r="I23" s="59"/>
      <c r="J23" s="71"/>
    </row>
    <row r="24" spans="2:10" ht="48" customHeight="1">
      <c r="B24" s="108" t="s">
        <v>233</v>
      </c>
      <c r="C24" s="99"/>
      <c r="D24" s="93" t="s">
        <v>234</v>
      </c>
      <c r="E24" s="93"/>
      <c r="F24" s="58"/>
      <c r="G24" s="93"/>
      <c r="H24" s="103" t="s">
        <v>235</v>
      </c>
      <c r="I24" s="104"/>
      <c r="J24" s="71"/>
    </row>
    <row r="25" spans="2:10" ht="18.95">
      <c r="B25" s="301">
        <v>13</v>
      </c>
      <c r="C25" s="96" t="s">
        <v>236</v>
      </c>
      <c r="D25" s="188">
        <v>1</v>
      </c>
      <c r="E25" s="188"/>
      <c r="F25" s="58"/>
      <c r="G25" s="282"/>
      <c r="H25" s="279">
        <f>VLOOKUP(B25,'Instrument and Sensor costs'!$B$7:$D$28,3,FALSE)</f>
        <v>35</v>
      </c>
      <c r="I25" s="175">
        <f>D25*H25</f>
        <v>35</v>
      </c>
      <c r="J25" s="71"/>
    </row>
    <row r="26" spans="2:10" ht="18.95">
      <c r="B26" s="109"/>
      <c r="C26" s="96"/>
      <c r="D26" s="59"/>
      <c r="E26" s="59"/>
      <c r="F26" s="58"/>
      <c r="G26" s="59"/>
      <c r="H26" s="59"/>
      <c r="I26" s="101"/>
      <c r="J26" s="71"/>
    </row>
    <row r="27" spans="2:10" ht="18.95">
      <c r="B27" s="108" t="s">
        <v>237</v>
      </c>
      <c r="C27" s="99"/>
      <c r="D27" s="299">
        <v>1</v>
      </c>
      <c r="E27" s="308">
        <f>D27*SUM('Exp. Details'!C$6:C$7)</f>
        <v>6</v>
      </c>
      <c r="F27" s="58"/>
      <c r="G27" s="58"/>
      <c r="H27" s="187">
        <v>5</v>
      </c>
      <c r="I27" s="175">
        <f>E27*H27</f>
        <v>30</v>
      </c>
      <c r="J27" s="324" t="s">
        <v>202</v>
      </c>
    </row>
    <row r="28" spans="2:10">
      <c r="B28" s="110"/>
      <c r="C28" s="91"/>
      <c r="D28" s="92"/>
      <c r="E28" s="92"/>
      <c r="F28" s="92"/>
      <c r="G28" s="92"/>
      <c r="H28" s="92"/>
      <c r="I28" s="105"/>
      <c r="J28" s="71"/>
    </row>
    <row r="29" spans="2:10" ht="66.95" thickBot="1">
      <c r="B29" s="192" t="s">
        <v>238</v>
      </c>
      <c r="C29" s="111"/>
      <c r="D29" s="42"/>
      <c r="E29" s="42"/>
      <c r="F29" s="42"/>
      <c r="G29" s="42"/>
      <c r="H29" s="112" t="s">
        <v>239</v>
      </c>
      <c r="I29" s="176">
        <f>SUM(I6:I27)</f>
        <v>2247.8000000000002</v>
      </c>
      <c r="J29" s="113"/>
    </row>
    <row r="32" spans="2:10" ht="32.1">
      <c r="C32" s="182" t="s">
        <v>97</v>
      </c>
      <c r="D32" s="180" t="s">
        <v>98</v>
      </c>
      <c r="E32" s="216"/>
      <c r="F32" s="216"/>
    </row>
    <row r="33" spans="3:6" ht="15.95">
      <c r="C33" s="181" t="s">
        <v>99</v>
      </c>
      <c r="D33" s="180" t="s">
        <v>100</v>
      </c>
      <c r="E33" s="216"/>
      <c r="F33" s="216"/>
    </row>
  </sheetData>
  <pageMargins left="0.7" right="0.7" top="0.75" bottom="0.75" header="0.3" footer="0.3"/>
  <pageSetup orientation="portrait" horizontalDpi="4294967293"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9E5E5-E6DE-4DD2-9224-30497879C25D}">
  <dimension ref="B1:F33"/>
  <sheetViews>
    <sheetView workbookViewId="0">
      <selection activeCell="D21" sqref="D21"/>
    </sheetView>
  </sheetViews>
  <sheetFormatPr defaultColWidth="8.85546875" defaultRowHeight="15"/>
  <cols>
    <col min="2" max="2" width="4.85546875" customWidth="1"/>
    <col min="3" max="3" width="52.42578125" customWidth="1"/>
    <col min="4" max="4" width="17.28515625" style="28" customWidth="1"/>
    <col min="5" max="5" width="54" style="29" customWidth="1"/>
    <col min="6" max="6" width="90.140625" style="29" customWidth="1"/>
  </cols>
  <sheetData>
    <row r="1" spans="2:6">
      <c r="D1"/>
    </row>
    <row r="2" spans="2:6" ht="15.95" thickBot="1">
      <c r="D2"/>
    </row>
    <row r="3" spans="2:6" ht="24">
      <c r="B3" s="32" t="s">
        <v>240</v>
      </c>
      <c r="C3" s="69"/>
      <c r="D3" s="33"/>
      <c r="E3" s="142"/>
      <c r="F3" s="143"/>
    </row>
    <row r="4" spans="2:6" ht="20.100000000000001">
      <c r="B4" s="70"/>
      <c r="C4" s="65" t="s">
        <v>241</v>
      </c>
      <c r="D4" s="90" t="s">
        <v>104</v>
      </c>
      <c r="E4" s="66" t="s">
        <v>242</v>
      </c>
      <c r="F4" s="144" t="s">
        <v>105</v>
      </c>
    </row>
    <row r="5" spans="2:6" ht="20.100000000000001">
      <c r="B5" s="70"/>
      <c r="C5" s="65" t="s">
        <v>243</v>
      </c>
      <c r="D5" s="93" t="s">
        <v>75</v>
      </c>
      <c r="E5" s="56"/>
      <c r="F5" s="145"/>
    </row>
    <row r="6" spans="2:6" ht="48">
      <c r="B6" s="70"/>
      <c r="C6" s="43" t="s">
        <v>244</v>
      </c>
      <c r="D6" s="186">
        <v>0.5</v>
      </c>
      <c r="E6" s="43" t="s">
        <v>245</v>
      </c>
      <c r="F6" s="307" t="s">
        <v>246</v>
      </c>
    </row>
    <row r="7" spans="2:6" ht="17.100000000000001">
      <c r="B7" s="70"/>
      <c r="C7" s="43" t="s">
        <v>247</v>
      </c>
      <c r="D7" s="306">
        <f>MAX(1,D6)</f>
        <v>1</v>
      </c>
      <c r="E7" s="43" t="s">
        <v>248</v>
      </c>
      <c r="F7" s="146"/>
    </row>
    <row r="8" spans="2:6" ht="15.95">
      <c r="B8" s="70"/>
      <c r="C8" s="43"/>
      <c r="D8" s="43"/>
      <c r="E8" s="43"/>
      <c r="F8" s="146"/>
    </row>
    <row r="9" spans="2:6" ht="20.100000000000001">
      <c r="B9" s="70"/>
      <c r="C9" s="67" t="s">
        <v>249</v>
      </c>
      <c r="D9" s="59"/>
      <c r="E9" s="43"/>
      <c r="F9" s="146"/>
    </row>
    <row r="10" spans="2:6" ht="68.099999999999994">
      <c r="B10" s="70"/>
      <c r="C10" s="43" t="s">
        <v>250</v>
      </c>
      <c r="D10" s="186">
        <v>1</v>
      </c>
      <c r="E10" s="43" t="s">
        <v>251</v>
      </c>
      <c r="F10" s="307" t="s">
        <v>252</v>
      </c>
    </row>
    <row r="11" spans="2:6" ht="33.950000000000003">
      <c r="B11" s="70"/>
      <c r="C11" s="43" t="s">
        <v>253</v>
      </c>
      <c r="D11" s="306">
        <f>MAX(D10,D10*'Exp. Details'!C4/10000)</f>
        <v>1</v>
      </c>
      <c r="E11" s="43"/>
      <c r="F11" s="146"/>
    </row>
    <row r="12" spans="2:6" ht="51">
      <c r="B12" s="70"/>
      <c r="C12" s="43" t="s">
        <v>254</v>
      </c>
      <c r="D12" s="306">
        <f>D6+D11</f>
        <v>1.5</v>
      </c>
      <c r="E12" s="43" t="s">
        <v>255</v>
      </c>
      <c r="F12" s="146"/>
    </row>
    <row r="13" spans="2:6" ht="51">
      <c r="B13" s="70"/>
      <c r="C13" s="43" t="s">
        <v>256</v>
      </c>
      <c r="D13" s="186">
        <v>1</v>
      </c>
      <c r="E13" s="43" t="s">
        <v>257</v>
      </c>
      <c r="F13" s="307" t="s">
        <v>258</v>
      </c>
    </row>
    <row r="14" spans="2:6" ht="17.100000000000001">
      <c r="B14" s="70"/>
      <c r="C14" s="43" t="s">
        <v>259</v>
      </c>
      <c r="D14" s="223">
        <f>IF(D13=1,D12*0.666,D12)</f>
        <v>0.99900000000000011</v>
      </c>
      <c r="E14" s="43" t="s">
        <v>260</v>
      </c>
      <c r="F14" s="146"/>
    </row>
    <row r="15" spans="2:6" ht="15.95">
      <c r="B15" s="70"/>
      <c r="C15" s="43"/>
      <c r="D15" s="43"/>
      <c r="E15" s="43"/>
      <c r="F15" s="146"/>
    </row>
    <row r="16" spans="2:6" ht="15.95">
      <c r="B16" s="46"/>
      <c r="C16" s="43"/>
      <c r="D16" s="59"/>
      <c r="E16" s="43"/>
      <c r="F16" s="146"/>
    </row>
    <row r="17" spans="2:6" ht="20.100000000000001">
      <c r="B17" s="46"/>
      <c r="C17" s="67" t="s">
        <v>261</v>
      </c>
      <c r="D17" s="59"/>
      <c r="E17" s="43"/>
      <c r="F17" s="146"/>
    </row>
    <row r="18" spans="2:6" ht="17.100000000000001">
      <c r="B18" s="46"/>
      <c r="C18" s="43" t="s">
        <v>262</v>
      </c>
      <c r="D18" s="306">
        <f>Moorings!D28</f>
        <v>1</v>
      </c>
      <c r="E18" s="43" t="s">
        <v>263</v>
      </c>
      <c r="F18" s="146"/>
    </row>
    <row r="19" spans="2:6" ht="15.95">
      <c r="B19" s="46"/>
      <c r="C19" s="43"/>
      <c r="D19" s="43"/>
      <c r="E19" s="43"/>
      <c r="F19" s="146"/>
    </row>
    <row r="20" spans="2:6" ht="32.1">
      <c r="B20" s="46"/>
      <c r="C20" s="67" t="s">
        <v>264</v>
      </c>
      <c r="D20" s="274">
        <f>'Seaweed details'!D13</f>
        <v>0.5</v>
      </c>
      <c r="E20" s="272" t="s">
        <v>265</v>
      </c>
      <c r="F20" s="272" t="s">
        <v>266</v>
      </c>
    </row>
    <row r="21" spans="2:6" ht="27" customHeight="1">
      <c r="B21" s="46"/>
    </row>
    <row r="22" spans="2:6" ht="27" customHeight="1">
      <c r="B22" s="46"/>
      <c r="C22" s="67" t="s">
        <v>267</v>
      </c>
      <c r="D22" s="43"/>
      <c r="E22" s="43"/>
      <c r="F22" s="146"/>
    </row>
    <row r="23" spans="2:6" ht="27" customHeight="1">
      <c r="B23" s="46"/>
      <c r="C23" s="150" t="s">
        <v>268</v>
      </c>
      <c r="D23" s="273">
        <v>1</v>
      </c>
      <c r="E23" s="43" t="s">
        <v>269</v>
      </c>
      <c r="F23" s="221" t="s">
        <v>270</v>
      </c>
    </row>
    <row r="24" spans="2:6" ht="15.95">
      <c r="B24" s="46"/>
      <c r="C24" s="150"/>
      <c r="D24" s="43"/>
      <c r="E24" s="43"/>
      <c r="F24" s="221"/>
    </row>
    <row r="25" spans="2:6" ht="20.100000000000001" thickBot="1">
      <c r="B25" s="47"/>
      <c r="C25" s="222" t="s">
        <v>271</v>
      </c>
      <c r="D25" s="48" t="s">
        <v>272</v>
      </c>
      <c r="E25" s="48" t="s">
        <v>273</v>
      </c>
      <c r="F25" s="147" t="s">
        <v>274</v>
      </c>
    </row>
    <row r="26" spans="2:6" ht="15.95">
      <c r="B26" s="217"/>
      <c r="C26" s="218"/>
      <c r="D26" s="219"/>
      <c r="E26" s="219"/>
      <c r="F26" s="220"/>
    </row>
    <row r="27" spans="2:6" ht="15.95" thickBot="1"/>
    <row r="28" spans="2:6" ht="24">
      <c r="B28" s="32" t="s">
        <v>88</v>
      </c>
      <c r="C28" s="62"/>
      <c r="D28" s="33"/>
      <c r="E28" s="148"/>
    </row>
    <row r="29" spans="2:6" ht="17.100000000000001">
      <c r="B29" s="35"/>
      <c r="C29" s="31" t="s">
        <v>275</v>
      </c>
      <c r="D29" s="187">
        <v>35</v>
      </c>
      <c r="E29" s="287" t="s">
        <v>276</v>
      </c>
    </row>
    <row r="30" spans="2:6" ht="18" thickBot="1">
      <c r="B30" s="36"/>
      <c r="C30" s="37" t="s">
        <v>277</v>
      </c>
      <c r="D30" s="189">
        <v>50</v>
      </c>
      <c r="E30" s="287" t="s">
        <v>276</v>
      </c>
    </row>
    <row r="32" spans="2:6" ht="32.1">
      <c r="C32" s="182" t="s">
        <v>97</v>
      </c>
      <c r="D32" s="180" t="s">
        <v>98</v>
      </c>
      <c r="E32" s="326" t="s">
        <v>278</v>
      </c>
    </row>
    <row r="33" spans="3:5" ht="32.1">
      <c r="C33" s="181" t="s">
        <v>99</v>
      </c>
      <c r="D33" s="180" t="s">
        <v>100</v>
      </c>
      <c r="E33" s="326" t="s">
        <v>279</v>
      </c>
    </row>
  </sheetData>
  <pageMargins left="0.7" right="0.7" top="0.75" bottom="0.75" header="0.3" footer="0.3"/>
  <pageSetup orientation="portrait" horizontalDpi="4294967293" verticalDpi="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FFE88-7F8E-4D4F-A715-9B890A787B53}">
  <dimension ref="B2:E28"/>
  <sheetViews>
    <sheetView workbookViewId="0">
      <selection activeCell="B23" sqref="B23"/>
    </sheetView>
  </sheetViews>
  <sheetFormatPr defaultColWidth="8.85546875" defaultRowHeight="15"/>
  <cols>
    <col min="3" max="3" width="37.28515625" customWidth="1"/>
    <col min="4" max="4" width="20.7109375" customWidth="1"/>
    <col min="5" max="5" width="52.140625" style="272" customWidth="1"/>
  </cols>
  <sheetData>
    <row r="2" spans="2:5" ht="15.95" thickBot="1"/>
    <row r="3" spans="2:5" ht="24">
      <c r="B3" s="32" t="s">
        <v>280</v>
      </c>
      <c r="C3" s="283"/>
      <c r="D3" s="203"/>
      <c r="E3" s="284"/>
    </row>
    <row r="4" spans="2:5" ht="21" thickBot="1">
      <c r="B4" s="295" t="s">
        <v>211</v>
      </c>
      <c r="C4" s="296" t="s">
        <v>281</v>
      </c>
      <c r="D4" s="297" t="s">
        <v>282</v>
      </c>
      <c r="E4" s="298" t="s">
        <v>105</v>
      </c>
    </row>
    <row r="5" spans="2:5" ht="18.95">
      <c r="B5" s="291"/>
      <c r="C5" s="292"/>
      <c r="D5" s="293"/>
      <c r="E5" s="294"/>
    </row>
    <row r="6" spans="2:5" ht="18.95">
      <c r="B6" s="286"/>
      <c r="C6" s="281" t="s">
        <v>283</v>
      </c>
      <c r="D6" s="93"/>
      <c r="E6" s="285"/>
    </row>
    <row r="7" spans="2:5" ht="15.95">
      <c r="B7" s="286">
        <v>1</v>
      </c>
      <c r="C7" s="68" t="s">
        <v>284</v>
      </c>
      <c r="D7" s="278">
        <v>20</v>
      </c>
      <c r="E7" s="287"/>
    </row>
    <row r="8" spans="2:5" ht="15.95">
      <c r="B8" s="286">
        <v>2</v>
      </c>
      <c r="C8" s="68" t="s">
        <v>285</v>
      </c>
      <c r="D8" s="278">
        <v>0.8</v>
      </c>
      <c r="E8" s="287"/>
    </row>
    <row r="9" spans="2:5" ht="15.95">
      <c r="B9" s="286">
        <v>3</v>
      </c>
      <c r="C9" s="68" t="s">
        <v>183</v>
      </c>
      <c r="D9" s="275">
        <v>1</v>
      </c>
      <c r="E9" s="288"/>
    </row>
    <row r="10" spans="2:5" ht="15.95">
      <c r="B10" s="286"/>
      <c r="C10" s="68"/>
      <c r="D10" s="275"/>
      <c r="E10" s="288"/>
    </row>
    <row r="11" spans="2:5" ht="18.95">
      <c r="B11" s="286"/>
      <c r="C11" s="276" t="s">
        <v>286</v>
      </c>
      <c r="D11" s="275"/>
      <c r="E11" s="288"/>
    </row>
    <row r="12" spans="2:5" ht="15.95">
      <c r="B12" s="286">
        <v>4</v>
      </c>
      <c r="C12" s="68" t="s">
        <v>190</v>
      </c>
      <c r="D12" s="277">
        <v>35</v>
      </c>
      <c r="E12" s="287"/>
    </row>
    <row r="13" spans="2:5" ht="15.95">
      <c r="B13" s="286">
        <v>5</v>
      </c>
      <c r="C13" s="68" t="s">
        <v>191</v>
      </c>
      <c r="D13" s="187">
        <v>50</v>
      </c>
      <c r="E13" s="287" t="s">
        <v>287</v>
      </c>
    </row>
    <row r="14" spans="2:5" ht="15.95">
      <c r="B14" s="286">
        <v>6</v>
      </c>
      <c r="C14" s="68" t="s">
        <v>288</v>
      </c>
      <c r="D14" s="277">
        <v>6</v>
      </c>
      <c r="E14" s="287"/>
    </row>
    <row r="15" spans="2:5" ht="15.95">
      <c r="B15" s="286">
        <v>7</v>
      </c>
      <c r="C15" s="68" t="s">
        <v>193</v>
      </c>
      <c r="D15" s="277">
        <v>25</v>
      </c>
      <c r="E15" s="287"/>
    </row>
    <row r="16" spans="2:5" ht="15.95">
      <c r="B16" s="286">
        <v>8</v>
      </c>
      <c r="C16" s="68" t="s">
        <v>289</v>
      </c>
      <c r="D16" s="187">
        <v>18</v>
      </c>
      <c r="E16" s="287" t="s">
        <v>287</v>
      </c>
    </row>
    <row r="17" spans="2:5" ht="19.5" customHeight="1">
      <c r="B17" s="286">
        <v>9</v>
      </c>
      <c r="C17" s="68" t="s">
        <v>195</v>
      </c>
      <c r="D17" s="187">
        <v>6</v>
      </c>
      <c r="E17" s="287" t="s">
        <v>287</v>
      </c>
    </row>
    <row r="18" spans="2:5" ht="15.95">
      <c r="B18" s="286">
        <v>10</v>
      </c>
      <c r="C18" s="68" t="s">
        <v>196</v>
      </c>
      <c r="D18" s="187">
        <v>6</v>
      </c>
      <c r="E18" s="287" t="s">
        <v>287</v>
      </c>
    </row>
    <row r="19" spans="2:5" ht="15.95">
      <c r="B19" s="286">
        <v>11</v>
      </c>
      <c r="C19" s="68" t="s">
        <v>197</v>
      </c>
      <c r="D19" s="277">
        <v>30</v>
      </c>
      <c r="E19" s="287"/>
    </row>
    <row r="20" spans="2:5" ht="15.95">
      <c r="B20" s="286">
        <v>12</v>
      </c>
      <c r="C20" s="68" t="s">
        <v>290</v>
      </c>
      <c r="D20" s="277">
        <v>20</v>
      </c>
      <c r="E20" s="287"/>
    </row>
    <row r="21" spans="2:5" ht="15.95">
      <c r="B21" s="286"/>
      <c r="C21" s="68"/>
      <c r="D21" s="187"/>
      <c r="E21" s="287"/>
    </row>
    <row r="22" spans="2:5" ht="18.95">
      <c r="B22" s="286"/>
      <c r="C22" s="276" t="s">
        <v>291</v>
      </c>
      <c r="D22" s="187"/>
      <c r="E22" s="287"/>
    </row>
    <row r="23" spans="2:5" ht="15.95">
      <c r="B23" s="286">
        <v>13</v>
      </c>
      <c r="C23" s="96" t="s">
        <v>292</v>
      </c>
      <c r="D23" s="277">
        <v>35</v>
      </c>
      <c r="E23" s="287"/>
    </row>
    <row r="24" spans="2:5" ht="15.95">
      <c r="B24" s="286">
        <v>14</v>
      </c>
      <c r="C24" s="68" t="s">
        <v>199</v>
      </c>
      <c r="D24" s="277">
        <v>50</v>
      </c>
      <c r="E24" s="287" t="s">
        <v>293</v>
      </c>
    </row>
    <row r="25" spans="2:5" ht="15.95">
      <c r="B25" s="286">
        <v>15</v>
      </c>
      <c r="C25" s="68" t="s">
        <v>200</v>
      </c>
      <c r="D25" s="277">
        <v>110</v>
      </c>
      <c r="E25" s="287" t="s">
        <v>294</v>
      </c>
    </row>
    <row r="26" spans="2:5" ht="15.95">
      <c r="B26" s="286">
        <v>16</v>
      </c>
      <c r="C26" s="68" t="s">
        <v>295</v>
      </c>
      <c r="D26" s="277">
        <v>26</v>
      </c>
      <c r="E26" s="287" t="s">
        <v>287</v>
      </c>
    </row>
    <row r="27" spans="2:5" ht="18" thickBot="1">
      <c r="B27" s="289">
        <v>17</v>
      </c>
      <c r="C27" s="37" t="s">
        <v>296</v>
      </c>
      <c r="D27" s="300">
        <v>50</v>
      </c>
      <c r="E27" s="290" t="s">
        <v>287</v>
      </c>
    </row>
    <row r="28" spans="2:5" ht="18" thickBot="1">
      <c r="B28" s="289">
        <v>18</v>
      </c>
      <c r="C28" s="37" t="s">
        <v>226</v>
      </c>
      <c r="D28" s="300">
        <v>50</v>
      </c>
      <c r="E28" s="290" t="s">
        <v>297</v>
      </c>
    </row>
  </sheetData>
  <pageMargins left="0.7" right="0.7" top="0.75" bottom="0.75" header="0.3" footer="0.3"/>
  <pageSetup orientation="portrait" horizontalDpi="4294967293" verticalDpi="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90722-9D22-4825-A9BE-DA60F3C56B1C}">
  <dimension ref="B2:I24"/>
  <sheetViews>
    <sheetView topLeftCell="D1" workbookViewId="0">
      <selection activeCell="H24" sqref="H24"/>
    </sheetView>
  </sheetViews>
  <sheetFormatPr defaultColWidth="8.85546875" defaultRowHeight="15"/>
  <cols>
    <col min="2" max="2" width="5.42578125" customWidth="1"/>
    <col min="3" max="3" width="31.42578125" style="29" customWidth="1"/>
    <col min="4" max="4" width="12.140625" style="28" customWidth="1"/>
    <col min="5" max="5" width="16.42578125" customWidth="1"/>
    <col min="6" max="6" width="12.42578125" customWidth="1"/>
    <col min="7" max="7" width="17.85546875" customWidth="1"/>
    <col min="8" max="8" width="74.42578125" customWidth="1"/>
    <col min="9" max="9" width="16.42578125" style="52" customWidth="1"/>
  </cols>
  <sheetData>
    <row r="2" spans="2:9" ht="15.95" thickBot="1"/>
    <row r="3" spans="2:9" ht="24">
      <c r="B3" s="32" t="s">
        <v>298</v>
      </c>
      <c r="C3" s="142"/>
      <c r="D3" s="203"/>
      <c r="E3" s="203"/>
      <c r="F3" s="204"/>
      <c r="G3" s="204"/>
      <c r="H3" s="205"/>
      <c r="I3" s="206"/>
    </row>
    <row r="4" spans="2:9" ht="39.950000000000003">
      <c r="B4" s="207" t="s">
        <v>143</v>
      </c>
      <c r="C4" s="193"/>
      <c r="D4" s="93" t="s">
        <v>299</v>
      </c>
      <c r="E4" s="94" t="s">
        <v>300</v>
      </c>
      <c r="F4" s="93" t="s">
        <v>301</v>
      </c>
      <c r="G4" s="93" t="s">
        <v>302</v>
      </c>
      <c r="H4" s="149" t="s">
        <v>105</v>
      </c>
      <c r="I4" s="208" t="s">
        <v>303</v>
      </c>
    </row>
    <row r="5" spans="2:9" ht="17.100000000000001">
      <c r="B5" s="63"/>
      <c r="C5" s="31" t="s">
        <v>304</v>
      </c>
      <c r="D5" s="186">
        <v>200</v>
      </c>
      <c r="E5" s="194">
        <v>25</v>
      </c>
      <c r="F5" s="195">
        <f>D5*E5/1000</f>
        <v>5</v>
      </c>
      <c r="G5" s="195">
        <f>F5*(('Exp. Details'!$C$6+'Exp. Details'!$C$7)*(('Exp. Details'!$C$12)+(('Exp. Details'!$C$11-1)*'Exp. Details'!$C$13)))</f>
        <v>150</v>
      </c>
      <c r="H5" s="193"/>
      <c r="I5" s="325" t="s">
        <v>305</v>
      </c>
    </row>
    <row r="6" spans="2:9" ht="17.100000000000001">
      <c r="B6" s="63"/>
      <c r="C6" s="31" t="s">
        <v>306</v>
      </c>
      <c r="D6" s="186">
        <v>5</v>
      </c>
      <c r="E6" s="194">
        <v>500</v>
      </c>
      <c r="F6" s="195">
        <f>D6*E6/1000</f>
        <v>2.5</v>
      </c>
      <c r="G6" s="195">
        <f>F6*(('Exp. Details'!$C$6+'Exp. Details'!$C$7)*(('Exp. Details'!$C$12)+(('Exp. Details'!$C$11-1)*'Exp. Details'!$C$13)))</f>
        <v>75</v>
      </c>
      <c r="H6" s="196"/>
      <c r="I6" s="209"/>
    </row>
    <row r="7" spans="2:9" ht="17.100000000000001">
      <c r="B7" s="63"/>
      <c r="C7" s="197" t="s">
        <v>307</v>
      </c>
      <c r="D7" s="186">
        <v>24</v>
      </c>
      <c r="E7" s="194">
        <v>500</v>
      </c>
      <c r="F7" s="195">
        <f>D7*E7/1000</f>
        <v>12</v>
      </c>
      <c r="G7" s="195">
        <f>F7*(('Exp. Details'!$C$6+'Exp. Details'!$C$7)*(('Exp. Details'!$C$12)+(('Exp. Details'!$C$11-1)*'Exp. Details'!$C$13)))</f>
        <v>360</v>
      </c>
      <c r="H7" s="196"/>
      <c r="I7" s="209"/>
    </row>
    <row r="8" spans="2:9" ht="15.95">
      <c r="B8" s="210"/>
      <c r="C8" s="197"/>
      <c r="D8" s="59"/>
      <c r="E8" s="97"/>
      <c r="F8" s="198"/>
      <c r="G8" s="198"/>
      <c r="H8" s="196"/>
      <c r="I8" s="209"/>
    </row>
    <row r="9" spans="2:9" ht="18.95">
      <c r="B9" s="108" t="s">
        <v>308</v>
      </c>
      <c r="C9" s="197"/>
      <c r="D9" s="59"/>
      <c r="E9" s="97"/>
      <c r="F9" s="198"/>
      <c r="G9" s="198"/>
      <c r="H9" s="196"/>
      <c r="I9" s="209"/>
    </row>
    <row r="10" spans="2:9" ht="17.100000000000001">
      <c r="B10" s="63"/>
      <c r="C10" s="31" t="s">
        <v>309</v>
      </c>
      <c r="D10" s="186">
        <v>20</v>
      </c>
      <c r="E10" s="194">
        <v>25</v>
      </c>
      <c r="F10" s="195">
        <f t="shared" ref="F10:F13" si="0">D10*E10/1000</f>
        <v>0.5</v>
      </c>
      <c r="G10" s="195">
        <f>F10*(('Exp. Details'!$C$6+'Exp. Details'!$C$7)*(('Exp. Details'!$C$12)+(('Exp. Details'!$C$11-1)*'Exp. Details'!$C$13)))</f>
        <v>15</v>
      </c>
      <c r="H10" s="196"/>
      <c r="I10" s="209"/>
    </row>
    <row r="11" spans="2:9" ht="33.950000000000003">
      <c r="B11" s="63"/>
      <c r="C11" s="31" t="s">
        <v>310</v>
      </c>
      <c r="D11" s="186">
        <v>20</v>
      </c>
      <c r="E11" s="194">
        <v>25</v>
      </c>
      <c r="F11" s="195">
        <f t="shared" si="0"/>
        <v>0.5</v>
      </c>
      <c r="G11" s="195">
        <f>F11*(('Exp. Details'!$C$6+'Exp. Details'!$C$7)*(('Exp. Details'!$C$12)+(('Exp. Details'!$C$11-1)*'Exp. Details'!$C$13)))</f>
        <v>15</v>
      </c>
      <c r="H11" s="196"/>
      <c r="I11" s="209"/>
    </row>
    <row r="12" spans="2:9" ht="17.100000000000001">
      <c r="B12" s="63"/>
      <c r="C12" s="197" t="s">
        <v>311</v>
      </c>
      <c r="D12" s="186">
        <v>20</v>
      </c>
      <c r="E12" s="194">
        <v>25</v>
      </c>
      <c r="F12" s="195">
        <f t="shared" si="0"/>
        <v>0.5</v>
      </c>
      <c r="G12" s="195">
        <f>F12*(('Exp. Details'!$C$6+'Exp. Details'!$C$7)*(('Exp. Details'!$C$12)+(('Exp. Details'!$C$11-1)*'Exp. Details'!$C$13)))</f>
        <v>15</v>
      </c>
      <c r="H12" s="196"/>
      <c r="I12" s="209"/>
    </row>
    <row r="13" spans="2:9" ht="17.100000000000001">
      <c r="B13" s="63"/>
      <c r="C13" s="31" t="s">
        <v>304</v>
      </c>
      <c r="D13" s="186">
        <v>20</v>
      </c>
      <c r="E13" s="194">
        <v>25</v>
      </c>
      <c r="F13" s="195">
        <f t="shared" si="0"/>
        <v>0.5</v>
      </c>
      <c r="G13" s="195">
        <f>F13*(('Exp. Details'!$C$6+'Exp. Details'!$C$7)*(('Exp. Details'!$C$12)+(('Exp. Details'!$C$11-1)*'Exp. Details'!$C$13)))</f>
        <v>15</v>
      </c>
      <c r="H13" s="196"/>
      <c r="I13" s="209"/>
    </row>
    <row r="14" spans="2:9" ht="17.100000000000001">
      <c r="B14" s="210"/>
      <c r="C14" s="197" t="s">
        <v>312</v>
      </c>
      <c r="D14" s="59"/>
      <c r="E14" s="97"/>
      <c r="F14" s="198"/>
      <c r="G14" s="198"/>
      <c r="H14" s="200" t="s">
        <v>313</v>
      </c>
      <c r="I14" s="325" t="s">
        <v>314</v>
      </c>
    </row>
    <row r="15" spans="2:9" ht="18.95">
      <c r="B15" s="108" t="s">
        <v>315</v>
      </c>
      <c r="C15" s="197"/>
      <c r="D15" s="59"/>
      <c r="E15" s="97"/>
      <c r="F15" s="198"/>
      <c r="G15" s="198"/>
      <c r="H15" s="196"/>
      <c r="I15" s="209"/>
    </row>
    <row r="16" spans="2:9" ht="17.100000000000001">
      <c r="B16" s="63"/>
      <c r="C16" s="31" t="s">
        <v>316</v>
      </c>
      <c r="D16" s="186">
        <v>25</v>
      </c>
      <c r="E16" s="194">
        <v>100</v>
      </c>
      <c r="F16" s="195">
        <f t="shared" ref="F16:F19" si="1">D16*E16/1000</f>
        <v>2.5</v>
      </c>
      <c r="G16" s="195">
        <f>F16*(('Exp. Details'!$C$6+'Exp. Details'!$C$7)*(('Exp. Details'!$C$12)+(('Exp. Details'!$C$11-1)*'Exp. Details'!$C$13)))</f>
        <v>75</v>
      </c>
      <c r="H16" s="196"/>
      <c r="I16" s="209"/>
    </row>
    <row r="17" spans="2:9" ht="17.100000000000001">
      <c r="B17" s="63"/>
      <c r="C17" s="31" t="s">
        <v>317</v>
      </c>
      <c r="D17" s="186">
        <v>25</v>
      </c>
      <c r="E17" s="194">
        <v>100</v>
      </c>
      <c r="F17" s="195">
        <f t="shared" si="1"/>
        <v>2.5</v>
      </c>
      <c r="G17" s="195">
        <f>F17*(('Exp. Details'!$C$6+'Exp. Details'!$C$7)*(('Exp. Details'!$C$12)+(('Exp. Details'!$C$11-1)*'Exp. Details'!$C$13)))</f>
        <v>75</v>
      </c>
      <c r="H17" s="196"/>
      <c r="I17" s="209"/>
    </row>
    <row r="18" spans="2:9" ht="17.100000000000001">
      <c r="B18" s="63"/>
      <c r="C18" s="31" t="s">
        <v>318</v>
      </c>
      <c r="D18" s="186">
        <v>20</v>
      </c>
      <c r="E18" s="194">
        <v>100</v>
      </c>
      <c r="F18" s="195">
        <f>D18*E18/1000</f>
        <v>2</v>
      </c>
      <c r="G18" s="195">
        <f>F18*(('Exp. Details'!$C$6+'Exp. Details'!$C$7)*(('Exp. Details'!$C$12)+(('Exp. Details'!$C$11-1)*'Exp. Details'!$C$13)))</f>
        <v>60</v>
      </c>
      <c r="H18" s="196"/>
      <c r="I18" s="209"/>
    </row>
    <row r="19" spans="2:9" ht="69.95">
      <c r="B19" s="63"/>
      <c r="C19" s="43" t="s">
        <v>319</v>
      </c>
      <c r="D19" s="188">
        <v>10</v>
      </c>
      <c r="E19" s="201">
        <v>100</v>
      </c>
      <c r="F19" s="195">
        <f t="shared" si="1"/>
        <v>1</v>
      </c>
      <c r="G19" s="195">
        <f>F19*(('Exp. Details'!$C$6+'Exp. Details'!$C$7)*(('Exp. Details'!$C$12)+(('Exp. Details'!$C$11-1)*'Exp. Details'!$C$13)))</f>
        <v>30</v>
      </c>
      <c r="H19" s="202" t="s">
        <v>320</v>
      </c>
      <c r="I19" s="325" t="s">
        <v>314</v>
      </c>
    </row>
    <row r="20" spans="2:9" ht="21.95" thickBot="1">
      <c r="B20" s="211" t="s">
        <v>321</v>
      </c>
      <c r="C20" s="212"/>
      <c r="D20" s="42"/>
      <c r="E20" s="42"/>
      <c r="F20" s="213">
        <f>SUM(F5:F19)</f>
        <v>29.5</v>
      </c>
      <c r="G20" s="176">
        <f>SUM(G5:G19)</f>
        <v>885</v>
      </c>
      <c r="H20" s="214"/>
      <c r="I20" s="215"/>
    </row>
    <row r="21" spans="2:9">
      <c r="F21" s="40"/>
      <c r="G21" s="40"/>
    </row>
    <row r="22" spans="2:9">
      <c r="F22" s="39"/>
      <c r="G22" s="39"/>
    </row>
    <row r="23" spans="2:9" ht="48">
      <c r="C23" s="182" t="s">
        <v>97</v>
      </c>
      <c r="D23" s="180" t="s">
        <v>98</v>
      </c>
      <c r="F23" s="39"/>
      <c r="G23" s="39"/>
    </row>
    <row r="24" spans="2:9" ht="32.1">
      <c r="C24" s="181" t="s">
        <v>99</v>
      </c>
      <c r="D24" s="180" t="s">
        <v>100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04687C780576447A20BEDA2BA7693A6" ma:contentTypeVersion="13" ma:contentTypeDescription="Create a new document." ma:contentTypeScope="" ma:versionID="4c8848353aef29fa60ae151db263a9c9">
  <xsd:schema xmlns:xsd="http://www.w3.org/2001/XMLSchema" xmlns:xs="http://www.w3.org/2001/XMLSchema" xmlns:p="http://schemas.microsoft.com/office/2006/metadata/properties" xmlns:ns2="e6bd19b9-1d44-4e52-b2b3-7756f1b7957b" xmlns:ns3="e63fe520-01c0-4280-9a3e-dc8be5b8b8af" targetNamespace="http://schemas.microsoft.com/office/2006/metadata/properties" ma:root="true" ma:fieldsID="7100223a0d97a22a78df6eb55356b35b" ns2:_="" ns3:_="">
    <xsd:import namespace="e6bd19b9-1d44-4e52-b2b3-7756f1b7957b"/>
    <xsd:import namespace="e63fe520-01c0-4280-9a3e-dc8be5b8b8af"/>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bd19b9-1d44-4e52-b2b3-7756f1b795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3a8857c-2cf5-46ed-a1a4-9b834fe1bf4f"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63fe520-01c0-4280-9a3e-dc8be5b8b8af"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2006b11f-5bd1-4b02-8bd6-78e3523a96a3}" ma:internalName="TaxCatchAll" ma:showField="CatchAllData" ma:web="e63fe520-01c0-4280-9a3e-dc8be5b8b8af">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63fe520-01c0-4280-9a3e-dc8be5b8b8af" xsi:nil="true"/>
    <lcf76f155ced4ddcb4097134ff3c332f xmlns="e6bd19b9-1d44-4e52-b2b3-7756f1b7957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5CA1E02-4D82-4C65-91B0-D5C55C028E12}"/>
</file>

<file path=customXml/itemProps2.xml><?xml version="1.0" encoding="utf-8"?>
<ds:datastoreItem xmlns:ds="http://schemas.openxmlformats.org/officeDocument/2006/customXml" ds:itemID="{13CF952D-2759-45B9-A62E-9B68369636D5}"/>
</file>

<file path=customXml/itemProps3.xml><?xml version="1.0" encoding="utf-8"?>
<ds:datastoreItem xmlns:ds="http://schemas.openxmlformats.org/officeDocument/2006/customXml" ds:itemID="{FB01E4FB-8B66-4601-9560-C1B8362CA83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 Barry</dc:creator>
  <cp:keywords/>
  <dc:description/>
  <cp:lastModifiedBy/>
  <cp:revision/>
  <dcterms:created xsi:type="dcterms:W3CDTF">2022-02-08T16:57:45Z</dcterms:created>
  <dcterms:modified xsi:type="dcterms:W3CDTF">2022-10-04T15:44:44Z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0x010100D04687C780576447A20BEDA2BA7693A6</vt:lpwstr>
  </property>
  <property fmtid="{D5CDD505-2E9C-101B-9397-08002B2CF9AE}" pid="3" name="MediaServiceImageTags">
    <vt:lpwstr/>
  </property>
</Properties>
</file>